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hidePivotFieldList="1" defaultThemeVersion="124226"/>
  <mc:AlternateContent xmlns:mc="http://schemas.openxmlformats.org/markup-compatibility/2006">
    <mc:Choice Requires="x15">
      <x15ac:absPath xmlns:x15ac="http://schemas.microsoft.com/office/spreadsheetml/2010/11/ac" url="E:\флэшка\Сайт\ЖК Итальянский квартал\"/>
    </mc:Choice>
  </mc:AlternateContent>
  <xr:revisionPtr revIDLastSave="0" documentId="8_{380E4B92-72C8-4E3B-AA01-888CCDE91850}" xr6:coauthVersionLast="47" xr6:coauthVersionMax="47" xr10:uidLastSave="{00000000-0000-0000-0000-000000000000}"/>
  <bookViews>
    <workbookView xWindow="-120" yWindow="-120" windowWidth="29040" windowHeight="15840" tabRatio="853" firstSheet="3" activeTab="3" xr2:uid="{00000000-000D-0000-FFFF-FFFF00000000}"/>
  </bookViews>
  <sheets>
    <sheet name="наблюдение" sheetId="2" state="hidden" r:id="rId1"/>
    <sheet name="2 оч." sheetId="4" state="hidden" r:id="rId2"/>
    <sheet name="3, 4 оч." sheetId="12" state="hidden" r:id="rId3"/>
    <sheet name="База" sheetId="13" r:id="rId4"/>
  </sheets>
  <definedNames>
    <definedName name="_GoBack" localSheetId="3">База!$F$2</definedName>
    <definedName name="_xlnm._FilterDatabase" localSheetId="3" hidden="1">База!$A$1:$AC$157</definedName>
    <definedName name="_xlnm._FilterDatabase" localSheetId="0" hidden="1">наблюдение!$A$5:$W$198</definedName>
  </definedNames>
  <calcPr calcId="191029"/>
</workbook>
</file>

<file path=xl/calcChain.xml><?xml version="1.0" encoding="utf-8"?>
<calcChain xmlns="http://schemas.openxmlformats.org/spreadsheetml/2006/main">
  <c r="J100" i="12" l="1"/>
  <c r="K99" i="12"/>
  <c r="J99" i="12"/>
  <c r="G88" i="12"/>
  <c r="G86" i="12"/>
  <c r="G84" i="12"/>
  <c r="G83" i="12"/>
  <c r="G78" i="12"/>
  <c r="G76" i="12"/>
  <c r="G113" i="12" l="1"/>
  <c r="C45" i="2"/>
  <c r="C43" i="2"/>
  <c r="C41" i="2"/>
  <c r="C40" i="2"/>
  <c r="C37" i="2"/>
  <c r="C36" i="2"/>
  <c r="C35" i="2"/>
  <c r="C34" i="2"/>
  <c r="C33" i="2"/>
  <c r="C32" i="2"/>
  <c r="C31" i="2"/>
  <c r="C30" i="2"/>
  <c r="C29" i="2"/>
  <c r="C28" i="2"/>
  <c r="C27" i="2"/>
  <c r="C26" i="2"/>
  <c r="C25" i="2"/>
  <c r="C24" i="2"/>
  <c r="C23" i="2"/>
  <c r="C22" i="2"/>
  <c r="C20" i="2"/>
  <c r="C19" i="2"/>
  <c r="C18" i="2"/>
  <c r="C17" i="2"/>
  <c r="C16" i="2"/>
  <c r="C15" i="2"/>
  <c r="M100" i="2" l="1"/>
  <c r="I100" i="2"/>
  <c r="M98" i="2"/>
  <c r="I96" i="2"/>
  <c r="M96" i="2"/>
  <c r="I92" i="2"/>
  <c r="M89" i="2"/>
  <c r="I89" i="2"/>
  <c r="M86" i="2"/>
  <c r="I86" i="2"/>
  <c r="M87" i="2"/>
  <c r="I87" i="2"/>
  <c r="M84" i="2"/>
  <c r="M81" i="2"/>
  <c r="I80" i="2"/>
  <c r="C39" i="2"/>
  <c r="M77" i="2"/>
  <c r="L74" i="2"/>
  <c r="M74" i="2" s="1"/>
  <c r="M71" i="2"/>
  <c r="I71" i="2"/>
  <c r="M70" i="2"/>
  <c r="I70" i="2"/>
  <c r="M69" i="2"/>
  <c r="C21" i="2"/>
  <c r="C67" i="2"/>
  <c r="C66" i="2"/>
  <c r="C65" i="2"/>
  <c r="C64" i="2"/>
  <c r="C63" i="2"/>
  <c r="C62" i="2"/>
  <c r="C61" i="2"/>
  <c r="C60" i="2"/>
  <c r="C59" i="2"/>
  <c r="C58" i="2"/>
  <c r="C57" i="2"/>
  <c r="C56" i="2"/>
  <c r="C55" i="2"/>
  <c r="C54" i="2"/>
  <c r="C53" i="2"/>
  <c r="C52" i="2"/>
  <c r="C51" i="2"/>
  <c r="C50" i="2"/>
  <c r="C49" i="2"/>
  <c r="C48" i="2"/>
  <c r="C47" i="2"/>
  <c r="C46" i="2"/>
  <c r="O190" i="2"/>
  <c r="P188" i="2"/>
  <c r="O188" i="2"/>
  <c r="O185" i="2"/>
  <c r="O187" i="2"/>
  <c r="O186" i="2"/>
  <c r="I60" i="2"/>
  <c r="M60" i="2" s="1"/>
  <c r="O66" i="2"/>
  <c r="P66" i="2"/>
  <c r="M142" i="2"/>
  <c r="I142" i="2"/>
  <c r="O174" i="2"/>
  <c r="I48" i="2"/>
  <c r="I148" i="2"/>
  <c r="M148" i="2"/>
  <c r="M146" i="2"/>
  <c r="M145" i="2"/>
  <c r="I146" i="2"/>
  <c r="M165" i="2"/>
  <c r="P64" i="2"/>
  <c r="M64" i="2"/>
  <c r="M179" i="2"/>
  <c r="O183" i="2"/>
  <c r="P175" i="2"/>
  <c r="O67" i="2"/>
  <c r="P182" i="2"/>
  <c r="G182" i="2" s="1"/>
  <c r="O65" i="2"/>
  <c r="G65" i="2" s="1"/>
  <c r="M61" i="2"/>
  <c r="M167" i="2"/>
  <c r="I166" i="2"/>
  <c r="L166" i="2" s="1"/>
  <c r="M166" i="2" s="1"/>
  <c r="M164" i="2" l="1"/>
  <c r="I164" i="2"/>
  <c r="M197" i="2"/>
  <c r="M59" i="2"/>
  <c r="M157" i="2"/>
  <c r="M156" i="2"/>
  <c r="M154" i="2"/>
  <c r="M57" i="2"/>
  <c r="M56" i="2"/>
  <c r="M53" i="2"/>
  <c r="M160" i="2"/>
  <c r="L163" i="2"/>
  <c r="M163" i="2" s="1"/>
  <c r="M162" i="2"/>
  <c r="I162" i="2"/>
  <c r="I160" i="2"/>
  <c r="M153" i="2"/>
  <c r="M152" i="2"/>
  <c r="M151" i="2"/>
  <c r="M150" i="2"/>
  <c r="P159" i="2"/>
  <c r="M159" i="2"/>
  <c r="I147" i="2"/>
  <c r="M198" i="2"/>
  <c r="I198" i="2"/>
  <c r="I59" i="2"/>
  <c r="J59" i="2" s="1"/>
  <c r="M58" i="2" l="1"/>
  <c r="I156" i="2"/>
  <c r="L155" i="2"/>
  <c r="M155" i="2" s="1"/>
  <c r="I154" i="2"/>
  <c r="M55" i="2"/>
  <c r="M54" i="2"/>
  <c r="I53" i="2"/>
  <c r="I149" i="2"/>
  <c r="M149" i="2"/>
  <c r="M147" i="2"/>
  <c r="I145" i="2"/>
  <c r="M144" i="2"/>
  <c r="I144" i="2"/>
  <c r="I143" i="2"/>
  <c r="M143" i="2"/>
  <c r="M140" i="2"/>
  <c r="I140" i="2"/>
  <c r="M139" i="2"/>
  <c r="I139" i="2"/>
  <c r="I138" i="2"/>
  <c r="M138" i="2"/>
  <c r="M137" i="2"/>
  <c r="I137" i="2"/>
  <c r="L135" i="2"/>
  <c r="M135" i="2" s="1"/>
  <c r="M52" i="2"/>
  <c r="I52" i="2"/>
  <c r="M132" i="2"/>
  <c r="I132" i="2"/>
  <c r="M51" i="2"/>
  <c r="J51" i="2"/>
  <c r="I50" i="2"/>
  <c r="M50" i="2"/>
  <c r="I49" i="2" l="1"/>
  <c r="M49" i="2"/>
  <c r="M134" i="2"/>
  <c r="I134" i="2"/>
  <c r="M133" i="2"/>
  <c r="I47" i="2"/>
  <c r="I46" i="2"/>
  <c r="C14" i="2"/>
  <c r="C13" i="2"/>
  <c r="C12" i="2"/>
  <c r="C11" i="2"/>
  <c r="C10" i="2"/>
  <c r="C9" i="2"/>
  <c r="C8" i="2"/>
  <c r="C7" i="2"/>
  <c r="C6" i="2"/>
  <c r="M38" i="2"/>
  <c r="O35" i="2"/>
  <c r="K35" i="2"/>
  <c r="M35" i="2" s="1"/>
  <c r="I82" i="2"/>
  <c r="M79" i="2"/>
  <c r="I78" i="2"/>
  <c r="L78" i="2"/>
  <c r="M78" i="2" s="1"/>
  <c r="M45" i="2"/>
  <c r="I45" i="2"/>
  <c r="I97" i="2"/>
  <c r="M97" i="2"/>
  <c r="I95" i="2"/>
  <c r="M95" i="2"/>
  <c r="M94" i="2"/>
  <c r="I94" i="2"/>
  <c r="M43" i="2"/>
  <c r="I43" i="2"/>
  <c r="I42" i="2"/>
  <c r="M42" i="2"/>
  <c r="M91" i="2"/>
  <c r="I93" i="2"/>
  <c r="M93" i="2"/>
  <c r="M41" i="2"/>
  <c r="I41" i="2"/>
  <c r="I40" i="2"/>
  <c r="M76" i="2"/>
  <c r="J76" i="2" s="1"/>
  <c r="M75" i="2"/>
  <c r="M73" i="2"/>
  <c r="I37" i="2"/>
  <c r="M37" i="2"/>
  <c r="I88" i="2"/>
  <c r="M88" i="2"/>
  <c r="I32" i="2"/>
  <c r="M90" i="2"/>
  <c r="M31" i="2"/>
  <c r="L30" i="2"/>
  <c r="M29" i="2"/>
  <c r="L72" i="2"/>
  <c r="M72" i="2" s="1"/>
  <c r="L22" i="2"/>
  <c r="M22" i="2" s="1"/>
  <c r="L25" i="2"/>
  <c r="M25" i="2" s="1"/>
  <c r="M85" i="2"/>
  <c r="I85" i="2"/>
  <c r="L20" i="2"/>
  <c r="M20" i="2" s="1"/>
  <c r="M19" i="2" l="1"/>
  <c r="K19" i="2"/>
  <c r="M17" i="2"/>
  <c r="I26" i="2"/>
  <c r="I24" i="2"/>
  <c r="M24" i="2" s="1"/>
  <c r="I68" i="2"/>
  <c r="M68" i="2" s="1"/>
  <c r="I83" i="2"/>
  <c r="I17" i="2"/>
  <c r="I81" i="2"/>
  <c r="I16" i="2"/>
  <c r="M16" i="2" s="1"/>
  <c r="I15" i="2"/>
  <c r="M15" i="2" s="1"/>
  <c r="P158" i="2" l="1"/>
  <c r="I35" i="2"/>
  <c r="P197" i="2"/>
  <c r="P58" i="2"/>
  <c r="P13" i="2"/>
  <c r="O13" i="2"/>
  <c r="N8" i="2"/>
  <c r="O8" i="2"/>
  <c r="I179" i="2" l="1"/>
  <c r="O180" i="2"/>
  <c r="P180" i="2"/>
  <c r="Q180" i="2"/>
  <c r="G11" i="2"/>
  <c r="P11" i="2"/>
  <c r="P10" i="2"/>
  <c r="O178" i="2"/>
  <c r="G178" i="2" s="1"/>
  <c r="P178" i="2"/>
  <c r="P9" i="2"/>
  <c r="O9" i="2"/>
  <c r="P7" i="2"/>
  <c r="P6" i="2"/>
  <c r="G10" i="2"/>
  <c r="N9" i="2"/>
  <c r="N7" i="2"/>
  <c r="G7" i="2" s="1"/>
  <c r="N6" i="2"/>
  <c r="G6" i="2" s="1"/>
  <c r="G9" i="2" l="1"/>
  <c r="K10" i="2"/>
  <c r="G8" i="2"/>
  <c r="N181" i="2"/>
  <c r="I178" i="2"/>
  <c r="G179" i="2" l="1"/>
  <c r="D11" i="4" l="1"/>
  <c r="D4" i="2"/>
  <c r="D2" i="2"/>
  <c r="R6" i="2" l="1"/>
  <c r="R180" i="2" l="1"/>
  <c r="R7" i="2"/>
  <c r="R9" i="2"/>
  <c r="R11" i="2"/>
  <c r="R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Карина Елесина</author>
  </authors>
  <commentList>
    <comment ref="P1" authorId="0" shapeId="0" xr:uid="{00000000-0006-0000-0300-000001000000}">
      <text>
        <r>
          <rPr>
            <b/>
            <sz val="9"/>
            <color indexed="81"/>
            <rFont val="Tahoma"/>
            <family val="2"/>
            <charset val="204"/>
          </rPr>
          <t>Карина Елесина:</t>
        </r>
        <r>
          <rPr>
            <sz val="9"/>
            <color indexed="81"/>
            <rFont val="Tahoma"/>
            <family val="2"/>
            <charset val="204"/>
          </rPr>
          <t xml:space="preserve">
только для квартир</t>
        </r>
      </text>
    </comment>
    <comment ref="Q1" authorId="0" shapeId="0" xr:uid="{00000000-0006-0000-0300-000002000000}">
      <text>
        <r>
          <rPr>
            <b/>
            <sz val="9"/>
            <color indexed="81"/>
            <rFont val="Tahoma"/>
            <family val="2"/>
            <charset val="204"/>
          </rPr>
          <t>Карина Елесина:</t>
        </r>
        <r>
          <rPr>
            <sz val="9"/>
            <color indexed="81"/>
            <rFont val="Tahoma"/>
            <family val="2"/>
            <charset val="204"/>
          </rPr>
          <t xml:space="preserve">
Добавлен 1 пробел!</t>
        </r>
      </text>
    </comment>
    <comment ref="S1" authorId="0" shapeId="0" xr:uid="{00000000-0006-0000-0300-000003000000}">
      <text>
        <r>
          <rPr>
            <b/>
            <sz val="9"/>
            <color indexed="81"/>
            <rFont val="Tahoma"/>
            <family val="2"/>
            <charset val="204"/>
          </rPr>
          <t>Карина Елесина:</t>
        </r>
        <r>
          <rPr>
            <sz val="9"/>
            <color indexed="81"/>
            <rFont val="Tahoma"/>
            <family val="2"/>
            <charset val="204"/>
          </rPr>
          <t xml:space="preserve">
Добавлен 1 пробел!</t>
        </r>
      </text>
    </comment>
    <comment ref="W1" authorId="0" shapeId="0" xr:uid="{00000000-0006-0000-0300-000004000000}">
      <text>
        <r>
          <rPr>
            <b/>
            <sz val="9"/>
            <color indexed="81"/>
            <rFont val="Tahoma"/>
            <family val="2"/>
            <charset val="204"/>
          </rPr>
          <t>Карина Елесина:</t>
        </r>
        <r>
          <rPr>
            <sz val="9"/>
            <color indexed="81"/>
            <rFont val="Tahoma"/>
            <family val="2"/>
            <charset val="204"/>
          </rPr>
          <t xml:space="preserve">
Добавлен 1 пробел!</t>
        </r>
      </text>
    </comment>
    <comment ref="X1" authorId="0" shapeId="0" xr:uid="{00000000-0006-0000-0300-000005000000}">
      <text>
        <r>
          <rPr>
            <b/>
            <sz val="9"/>
            <color indexed="81"/>
            <rFont val="Tahoma"/>
            <family val="2"/>
            <charset val="204"/>
          </rPr>
          <t>Карина Елесина:</t>
        </r>
        <r>
          <rPr>
            <sz val="9"/>
            <color indexed="81"/>
            <rFont val="Tahoma"/>
            <family val="2"/>
            <charset val="204"/>
          </rPr>
          <t xml:space="preserve">
Добавлено 2 пробела!</t>
        </r>
      </text>
    </comment>
  </commentList>
</comments>
</file>

<file path=xl/sharedStrings.xml><?xml version="1.0" encoding="utf-8"?>
<sst xmlns="http://schemas.openxmlformats.org/spreadsheetml/2006/main" count="2014" uniqueCount="1181">
  <si>
    <t>Размер требованиия, руб.</t>
  </si>
  <si>
    <t>%</t>
  </si>
  <si>
    <t>Примечания</t>
  </si>
  <si>
    <t>принято к производству заявление о признании банкротом</t>
  </si>
  <si>
    <r>
      <t xml:space="preserve">Содержание / </t>
    </r>
    <r>
      <rPr>
        <b/>
        <sz val="10"/>
        <rFont val="Arial"/>
        <family val="2"/>
        <charset val="204"/>
      </rPr>
      <t>Кредитор</t>
    </r>
  </si>
  <si>
    <t>наблюдение, ВУ Шутилов А.В., в полном объеме 20.07.2018</t>
  </si>
  <si>
    <t>публикация; для участия в ПСК - до 03.09.2018</t>
  </si>
  <si>
    <t>№</t>
  </si>
  <si>
    <t>з.2</t>
  </si>
  <si>
    <t>Несмиянов Андрей Анатольевич</t>
  </si>
  <si>
    <t>з.3</t>
  </si>
  <si>
    <t>Дюкин Николай Васильевич</t>
  </si>
  <si>
    <t>з.4</t>
  </si>
  <si>
    <t>з.5</t>
  </si>
  <si>
    <t>Сергеева Александра Сергеевна</t>
  </si>
  <si>
    <t>Вихорев Леонид Валентинович, Григорьева Сабина Александровна</t>
  </si>
  <si>
    <t>з.7</t>
  </si>
  <si>
    <t>Фоменко В.А</t>
  </si>
  <si>
    <t>Восс Н.А</t>
  </si>
  <si>
    <t xml:space="preserve">Гаста Л.В, Гаста В.Г </t>
  </si>
  <si>
    <t>МИФНС № 18</t>
  </si>
  <si>
    <t>Время</t>
  </si>
  <si>
    <t>Дата с/з</t>
  </si>
  <si>
    <t>Рез.часть</t>
  </si>
  <si>
    <t>Определение</t>
  </si>
  <si>
    <t>Ковальская М.В.</t>
  </si>
  <si>
    <t>тр.46</t>
  </si>
  <si>
    <t>тр.41</t>
  </si>
  <si>
    <t>Горохова И.Ю.</t>
  </si>
  <si>
    <t>тр.16</t>
  </si>
  <si>
    <t>тр.15</t>
  </si>
  <si>
    <t>тр.61</t>
  </si>
  <si>
    <t>ООО Петростиль</t>
  </si>
  <si>
    <t>тр.14</t>
  </si>
  <si>
    <t>Мамонтов Дмитрий Андреевич
Мамонтова Мария Игоревна</t>
  </si>
  <si>
    <t>Примечание</t>
  </si>
  <si>
    <t>С/з</t>
  </si>
  <si>
    <t>21.09 в 10-10</t>
  </si>
  <si>
    <r>
      <t xml:space="preserve">Содержание / </t>
    </r>
    <r>
      <rPr>
        <b/>
        <sz val="9"/>
        <rFont val="Arial"/>
        <family val="2"/>
        <charset val="204"/>
      </rPr>
      <t>Кредитор</t>
    </r>
  </si>
  <si>
    <t>МИФНС РФ № 18 по СПб</t>
  </si>
  <si>
    <t>тр. 47</t>
  </si>
  <si>
    <t>страховые взносы в ПФР за 2016 и 1 кв. 2017</t>
  </si>
  <si>
    <t>3 очередь</t>
  </si>
  <si>
    <t>4 очередь</t>
  </si>
  <si>
    <t>Передача</t>
  </si>
  <si>
    <t>двухэтажный жилой дом №14, площадью 111,5 кв.м., расположенный по строительному адресу: ЛО, Всеволожский р-н, уч. Мистолово, ЗЖК "Близкое", 1-я очередь на земельном участнике кадастровый № 47:07:0713002:1793, площадью 402 кв.м.</t>
  </si>
  <si>
    <t>Размер не исполненных обязательств</t>
  </si>
  <si>
    <t>Сумма по ДДУ</t>
  </si>
  <si>
    <t>квартира, площадью 49,27 кв.м., расположенная на 3м этаже в 3-х этажном доие №5, расположенном по строительному адресу: ЛО, Всеволожский р-н, уч. Мистолово, ЗЖК "Близкое" 1я очередь строительства</t>
  </si>
  <si>
    <t>Текущие</t>
  </si>
  <si>
    <t>4 оч. /санкции</t>
  </si>
  <si>
    <t>тр.10</t>
  </si>
  <si>
    <t>Караваева Т.В.</t>
  </si>
  <si>
    <t>тр.6</t>
  </si>
  <si>
    <t>тр.4</t>
  </si>
  <si>
    <t>Мишин Л.Н.</t>
  </si>
  <si>
    <t>тр.5</t>
  </si>
  <si>
    <t>Неструева И.Ю.</t>
  </si>
  <si>
    <t>тр.7</t>
  </si>
  <si>
    <t>Песецкая Т.В.</t>
  </si>
  <si>
    <t>тр.8</t>
  </si>
  <si>
    <t>Свиридов И.В.</t>
  </si>
  <si>
    <t>тр.2</t>
  </si>
  <si>
    <t>тр.1</t>
  </si>
  <si>
    <t>Серебренникова А.Ю.</t>
  </si>
  <si>
    <t>Филиппова Н.А.</t>
  </si>
  <si>
    <t>тр.3</t>
  </si>
  <si>
    <t>тр.38</t>
  </si>
  <si>
    <t>Решетняк Инна Сергеевна и Корнелис Гарольд Джусте</t>
  </si>
  <si>
    <t>тр.33</t>
  </si>
  <si>
    <t>Завацкого Андрея Владимировича и Завацкой Ольги Витальевны</t>
  </si>
  <si>
    <t>тр.20</t>
  </si>
  <si>
    <t>Вологдина Андрея Геннадьевича</t>
  </si>
  <si>
    <t>тр.31</t>
  </si>
  <si>
    <t>Бирюкова Максима Игоревича</t>
  </si>
  <si>
    <t>тр.29</t>
  </si>
  <si>
    <t>Гущиной Екатерины Евгеньевны и Спиридонова Ивана Сергеевича</t>
  </si>
  <si>
    <t>тр.48</t>
  </si>
  <si>
    <t>Куракина Анатолия Александровича</t>
  </si>
  <si>
    <t>Котрохового Юрия Сергеевича</t>
  </si>
  <si>
    <t>тр.45</t>
  </si>
  <si>
    <t>Гусевой Наталии Игоревны</t>
  </si>
  <si>
    <t>тр.32</t>
  </si>
  <si>
    <t>Срюбаса Дениса Андреевича</t>
  </si>
  <si>
    <t>тр.64</t>
  </si>
  <si>
    <t>Ивановской Татьяны Сергеевны</t>
  </si>
  <si>
    <t>тр.65</t>
  </si>
  <si>
    <t>тр.70</t>
  </si>
  <si>
    <t>Петрова Михаила Александровича</t>
  </si>
  <si>
    <t>тр.68</t>
  </si>
  <si>
    <t xml:space="preserve">Саколина Дмитрия Константиновича </t>
  </si>
  <si>
    <t>Германчука Бориса Константиновича и Германчук Анастасии Николаевны</t>
  </si>
  <si>
    <t>тр.56</t>
  </si>
  <si>
    <t>Никитиной Анастасии Александровны</t>
  </si>
  <si>
    <t>тр.69</t>
  </si>
  <si>
    <t>тр.59</t>
  </si>
  <si>
    <t>Талалай Павла Григорьевича</t>
  </si>
  <si>
    <t>Хасанзянова Алексея Равильевича и Хасанзяновой Екатерины Николаевны</t>
  </si>
  <si>
    <t>тр.58</t>
  </si>
  <si>
    <t>Попова Дмитрия Сергеевича</t>
  </si>
  <si>
    <t>тр.57</t>
  </si>
  <si>
    <t>тр.60</t>
  </si>
  <si>
    <t>Ткаченко Константина Сергеевича</t>
  </si>
  <si>
    <t>тр.71</t>
  </si>
  <si>
    <t>Семенова Алексея Николаевича</t>
  </si>
  <si>
    <t>тр.67</t>
  </si>
  <si>
    <t>Пахомовой Ирины Александровны</t>
  </si>
  <si>
    <t>тр.63</t>
  </si>
  <si>
    <t>Бахарева Сергея Викторовича</t>
  </si>
  <si>
    <t>тр.54</t>
  </si>
  <si>
    <t>Васильева Алексея Игоревича</t>
  </si>
  <si>
    <t>тр.55</t>
  </si>
  <si>
    <t>Лукьянчикова Виктора Петровича</t>
  </si>
  <si>
    <t>тр.52</t>
  </si>
  <si>
    <t xml:space="preserve">Гаврилова Виталия Геннадьевича </t>
  </si>
  <si>
    <t>тр.72</t>
  </si>
  <si>
    <t>Кондрашова Александра Анатольевича</t>
  </si>
  <si>
    <t>тр.42</t>
  </si>
  <si>
    <t>Матисова Дмитрия Алексеевича</t>
  </si>
  <si>
    <t>тр.49</t>
  </si>
  <si>
    <t>Гуличенко Анастасии Вячеславовны</t>
  </si>
  <si>
    <t>тр.36</t>
  </si>
  <si>
    <t>Костромцов Андрея Алексеевича и Вавиловой Юлии Александровны</t>
  </si>
  <si>
    <t>тр.36а</t>
  </si>
  <si>
    <t>Макаровой Ольги Александровны</t>
  </si>
  <si>
    <t>тр.34</t>
  </si>
  <si>
    <t>Грибкова Владимира Сергеевича</t>
  </si>
  <si>
    <t>тр.35</t>
  </si>
  <si>
    <t>Коржевой Ольги Владимировны</t>
  </si>
  <si>
    <t>тр.39</t>
  </si>
  <si>
    <t>Ивановой Юлии Александровны и Иванова Александра Ивановича</t>
  </si>
  <si>
    <t>тр.43</t>
  </si>
  <si>
    <t>Клещевича Вячеслава Геннадьевича</t>
  </si>
  <si>
    <t>тр.30</t>
  </si>
  <si>
    <t>Фоменко Валерии Александровны</t>
  </si>
  <si>
    <t>тр.40</t>
  </si>
  <si>
    <t>Куркуриной Татьяны Николаевны</t>
  </si>
  <si>
    <t>тр.12</t>
  </si>
  <si>
    <t>Корчагиной Александры Павловны</t>
  </si>
  <si>
    <t>тр.44</t>
  </si>
  <si>
    <t>Топчеенко Ларисы Александровны</t>
  </si>
  <si>
    <t>тр.50</t>
  </si>
  <si>
    <t>Васильевой Юлии Михайловны</t>
  </si>
  <si>
    <t>тр.25</t>
  </si>
  <si>
    <t>Кузьмина Егора Константиновича</t>
  </si>
  <si>
    <t>тр.23</t>
  </si>
  <si>
    <t>Сабурова Азмата Хашимджановича</t>
  </si>
  <si>
    <t>тр.28</t>
  </si>
  <si>
    <t>Ларионовой Ольги Александровны</t>
  </si>
  <si>
    <t>тр.24</t>
  </si>
  <si>
    <t>тр.27</t>
  </si>
  <si>
    <t>Максимова Алексея Андреевича и Максимовой Натальи Юрьевны</t>
  </si>
  <si>
    <t>тр.22</t>
  </si>
  <si>
    <t>Костромцова Андрея Алексеевича и Вавиловой Юлии Александровны</t>
  </si>
  <si>
    <t>тр.18</t>
  </si>
  <si>
    <t>Денищенко Светланы Юрьевны</t>
  </si>
  <si>
    <t>тр.19</t>
  </si>
  <si>
    <t>Решитняка Василия Григорьевича</t>
  </si>
  <si>
    <t>тр.17</t>
  </si>
  <si>
    <t>Ролдугина Антона Валерьевича</t>
  </si>
  <si>
    <t>тр.21</t>
  </si>
  <si>
    <t>отказ от ДДУ, судебный акт - отзыв</t>
  </si>
  <si>
    <t>неисполненное мировое соглашение, утв. судом - отзыв</t>
  </si>
  <si>
    <t>денежное требование на основании решения - отзыв (требование опередаче отд.обособленный спор)</t>
  </si>
  <si>
    <t>рез.10.07.18</t>
  </si>
  <si>
    <t>Громова Вероника Александровна</t>
  </si>
  <si>
    <t>тр.9</t>
  </si>
  <si>
    <t>судебный акт - отзыв</t>
  </si>
  <si>
    <t>3 061 725,00 руб. - сумма по ДДУ по данным должника внесена полностью - возражений нет</t>
  </si>
  <si>
    <t>1 комн. Квартира, № 5.1, расположенная в трехэтажном доме № 5, проектной площадью 54,62 кв.м, расположенного по строительному адресу: ЛО, Всеволожский р-н, уч. Мистолово, ЗЖК "Близкое"</t>
  </si>
  <si>
    <t>Квартира № 19.8, расположенная в 2х этажном жилом доме блокированной застройки № 19, проектной площадью 105,50 кв.м., расположенному по строительному адресу: ЛО, Всеволодский р-н, уч. Мистолово, ЗЖК "Близкое"</t>
  </si>
  <si>
    <t>1) 5 056 180,00 руб. - сумма по ДДУ по данным должника внесена полностью - возражений нет. Устно предложи судье сослаться в рез.части на проектный номер квартиры 19.8  (п.1.1.4 ДДУ)
2) денежное на основании суд.акта - отзыв - все в 4 очередь</t>
  </si>
  <si>
    <t>Изначально ДДУ был заключен с ООО Петростиль, впоследствии по устпке дольщиком стал кредитор
1) 2 181 346,00 руб.  - сумма ДДУ по данным должника внесена полностью - возражений нет
2) денежное  требование - судебный акт - отзыв</t>
  </si>
  <si>
    <t>Квартира  № 4.15, проектной площадью 36,2 кв.м., расположенная на 1ом этаже по строительному адресу: ЛО, Всеволожский р-н, уч. Мистолово, ЗЖК "Близкое"</t>
  </si>
  <si>
    <t>2х этажный жилой дом № 1.5, общей площадью 103,34 кв.м, расположенный по строительному адресу: ЛО, Всеволодский р-н, уч. Мистолово, ЗКЖ "Близкое"</t>
  </si>
  <si>
    <t>только требование о передаче. По данным должника полностью оплачен 2 889 138,70 - не возражаем</t>
  </si>
  <si>
    <t>квартира № 5.5, расположенная в двухэтажном жилом доме № 5 блокированной застройки, общей площадью 86,58 кв.м., расположенного по строительному адресу: ЛО, Всеволожский р-н, уч. Мистолово, ЗЖК "Близкое"</t>
  </si>
  <si>
    <t>только требование о передаче помещения, сумма по ДДУ - 5 294 017,6 - по данным должника оплачена полностью - не возражаем</t>
  </si>
  <si>
    <t>квартира № 22.7, общая площадь 57,07 кв.м., расположенная в доме блокированной застройки № 22 по строительному адресу: ЛО, Всеволожский р-н, уч. Мистолово, ЗЖК "Близкое"</t>
  </si>
  <si>
    <t>только требование о передаче помещения, сумма по ДДУ - 4 276 503,00 - по данным должника оплачена полностью - не возражаем</t>
  </si>
  <si>
    <t>квартира № 13.5 общей площадью 91,6кв.м., в 2х этажном жлом доме блокированной застройки №13, расположенного по строительному адресу: ЛО, Всеволожский р-н, уч. Мистолово, ЗЖК "Близкое"</t>
  </si>
  <si>
    <t>квартира № 6.5, расположенная в 2-х этажном жилом доме блокированной застройки №6 по адресу ЛО, Всеволожский р-н, уч. Митолово, ЗЖК "Близкое", общей площадью 102,93 кв.м.</t>
  </si>
  <si>
    <t>требование о передаче, взнос оплачен в полном размере - не возражаем</t>
  </si>
  <si>
    <t>квартира 1.9, проектной площадью 51.2587,1 кв.м., расположенной в 3х этажном доме № 1 по адресу: ЛО, Всеволожский р-н, уч. Мистолово,  ЗЖК "Близкое"</t>
  </si>
  <si>
    <t>2х этажный жилой дом № 2.8, общей площадью 107,85 кв.м, расположенный по строительному адресу: ЛО, Всеволодский р-н, уч. Мистолово, ЗКЖ "Близкое"</t>
  </si>
  <si>
    <t>квартира 4.8, общей площадью 37,57 кв.м., расположенной в 3х этажном доме № 4 по адресу: ЛО, Всеволожский р-н, уч. Мистолово,  ЗЖК "Близкое"</t>
  </si>
  <si>
    <t>квартира 4.12, общей площадью 37,57 кв.м., расположенной в 3х этажном доме № 4 по адресу: ЛО, Всеволожский р-н, уч. Мистолово,  ЗЖК "Близкое"</t>
  </si>
  <si>
    <t>ЗУ</t>
  </si>
  <si>
    <t>ЖП</t>
  </si>
  <si>
    <t>квартира 14.9, общей площадью 86,24 кв.м., расположенной в 2ух этажном доме блокированной застройки № 14 по адресу: ЛО, Всеволожский р-н, уч. Мистолово,  ЗЖК "Близкое"</t>
  </si>
  <si>
    <t>квартира 13.7, общей площадью 86,58 кв.м., расположенной в 2ух этажном доме блокированной застройки № 13 по адресу: ЛО, Всеволожский р-н, уч. Мистолово,  ЗЖК "Близкое"</t>
  </si>
  <si>
    <t>квартира 12.4, общей площадью 86,55 кв.м., расположенной в 2ух этажном доме блокированной застройки № 12 по адресу: ЛО, Всеволожский р-н, уч. Мистолово,  ЗЖК "Близкое"</t>
  </si>
  <si>
    <t>квартира 19.2, общей площадью 100,5 кв.м., расположенной в 2ух этажном доме блокированной застройки № 19 по адресу: ЛО, Всеволожский р-н, уч. Мистолово,  ЗЖК "Близкое"</t>
  </si>
  <si>
    <t>нет</t>
  </si>
  <si>
    <t>квартира 2.11, общей площадью 54,6 кв.м., расположенной в 3х этажном доме № 2 по адресу: ЛО, Всеволожский р-н, уч. Мистолово,  ЗЖК "Близкое"</t>
  </si>
  <si>
    <t>квартира 4.6, общей площадью 86,58 кв.м., расположенной в 2ух этажном доме блокированной застройки № 4 по адресу: ЛО, Всеволожский р-н, уч. Мистолово,  ЗЖК "Близкое"</t>
  </si>
  <si>
    <t>требование о передаче, взнос оплачен в полном размере - не возражаем (сама просит взнос за вычетом стоимости ЗУ)</t>
  </si>
  <si>
    <t>требование о передаче, взнос оплачен в полном размере - не возражаем (отзыв по ЗУ)</t>
  </si>
  <si>
    <t>квартира 4.5, общей площадью 87,1 кв.м., расположенной в 2ух этажном доме блокированной застройки № 4 по адресу: ЛО, Всеволожский р-н, уч. Мистолово,  ЗЖК "Близкое"</t>
  </si>
  <si>
    <t>1)требование о передаче, взнос оплачен в полном размере - не возражаем. 
2) денежное - не возражаем (отзыва нет) - все 4ую очередь. Должник должен походатайствовать об уменьшении размера неустойки согласно ст. 333 ГК РФ - поддерживаем</t>
  </si>
  <si>
    <t>1)требование о передаче, взнос оплачен в полном размере - не возражаем (отзыв по ЗУ)
2) денежное - не возражаем (отзыва нет) - все 4ую очередь Должник должен походатайствовать об уменьшении размера неустойки согласно ст. 333 ГК РФ - поддерживаем</t>
  </si>
  <si>
    <t>квартира 4.3, общей площадью 86,58 кв.м., расположенной в 2ух этажном доме блокированной застройки № 4 по адресу: ЛО, Всеволожский р-н, уч. Мистолово,  ЗЖК "Близкое"</t>
  </si>
  <si>
    <t>требование о передаче, взнос оплачен в полном размере - не возражаем (была уступка) (отзыв по ЗУ)</t>
  </si>
  <si>
    <t>квартира 21.1, общей площадью 57,07 кв.м., расположенной в 2ух этажном доме блокированной № 21 по адресу: ЛО, Всеволожский р-н, уч. Мистолово,  ЗЖК "Близкое"</t>
  </si>
  <si>
    <t>1)требование о передаче, взнос оплачен в полном размере - не возражаем
2) денежное - не возражаем  - все 4ую очередь 
Должник должен походатайствовать об уменьшении размера неустойки согласно ст. 333 ГК РФ - поддерживаем
Отзыв по ЗУ и неустойке</t>
  </si>
  <si>
    <t>квартира 22.5, общей площадью 57,07 кв.м., расположенной в 2ух этажном доме блокированной застройки № 22 по адресу: ЛО, Всеволожский р-н, уч. Мистолово,  ЗЖК "Близкое"</t>
  </si>
  <si>
    <t>1) требование о передаче - не возражаем. Сумма платежей не равна цене ДДУ!!
2) отзыв по ЗУ</t>
  </si>
  <si>
    <t>квартира 4.1, общей площадью 86,24 кв.м., расположенной в 2ух этажном доме блокированной застройки № 4 по адресу: ЛО, Всеволожский р-н, уч. Мистолово,  ЗЖК "Близкое"</t>
  </si>
  <si>
    <t>квартира 8.8, общей площадью 84,8 кв.м., расположенной в 2х этажном доме блокированной застройки № 8 по адресу: ЛО, Всеволожский р-н, уч. Мистолово,  ЗЖК "Близкое"</t>
  </si>
  <si>
    <t>жилое помещение № 10.5, примерной площадью 86,55 кв.м., в 2х этажном жилом доме блокированной застройки № 10, по адресу:ЛО, Всеволожский р-н, уч. Мистолово,  ЗЖК "Близкое"</t>
  </si>
  <si>
    <t>требование о передаче, взнос оплачен в полном размере - не возражаем. Отзыв по ЗУ</t>
  </si>
  <si>
    <t>1)требование о передаче, взнос оплачен в полном размере - не возражаем
2) денежное по неустойке - не возражаем (отзыва нет) - все 4ую очередь Должник долен походатайствовать об уменьшении размера неустойки согласно ст. 333 ГК РФ - поддерживаем
3) Отзыв по ЗУ и неустойке</t>
  </si>
  <si>
    <t>жилое помещение (жилой дом) № 2.11, примерной площадью 130,32 кв.м.</t>
  </si>
  <si>
    <t>квартира № 6.8, общей площадью 37,57 кв.м., расположенной в 3х этажном доме № 6 по адресу: ЛО, Всеволожский р-н, уч. Мистолово,  ЗЖК "Близкое"</t>
  </si>
  <si>
    <t>квартира № 15.6, общей площадью 86,55 кв.м., расположенной в 2х этажном доме блокированной застройки № 15 по адресу: ЛО, Всеволожский р-н, уч. Мистолово,  ЗЖК "Близкое"</t>
  </si>
  <si>
    <t>квартира № 18.5, общей площадью 86,55 кв.м., расположенной в 2х этажном доме блокированной застройки № 18 по адресу: ЛО, Всеволожский р-н, уч. Мистолово,  ЗЖК "Близкое"</t>
  </si>
  <si>
    <t>требование о передаче, взнос оплачен в полном размере - не возражаем (сумму ЖП выделил сам в просительной части)</t>
  </si>
  <si>
    <t>квартира № 24.5, общей площадью 57,05 кв.м., расположенной в 2х этажном доме блокированной застройки № 24 по адресу: ЛО, Всеволожский р-н, уч. Мистолово,  ЗЖК "Близкое"</t>
  </si>
  <si>
    <t>жилое помещение (жилой дом) № 1.9,  примерной площадью 406 кв.м.</t>
  </si>
  <si>
    <t>квартира № 10, общей площадью 49,51 кв.м., расположенной в 3х этажном доме №3 по адресу: ЛО, Всеволожский р-н, уч. Мистолово,  ЗЖК "Близкое"</t>
  </si>
  <si>
    <t>жилое помещение (жилой дом) № 2.4,  примерной площадью 110 кв.м.по адресу: ЛО, Всеволожский р-н, уч. Мистолово,  ЗЖК "Близкое"</t>
  </si>
  <si>
    <t>квартира № 2.2, общей площадью 54,62 кв.м., расположенной в 3х этажном доме №2 по адресу: ЛО, Всеволожский р-н, уч. Мистолово,  ЗЖК "Близкое"</t>
  </si>
  <si>
    <t>квартира № 6.1, общей площадью 86,55 кв.м., расположенной в 2х этажном доме блокированной застройки № 6 по адресу: ЛО, Всеволожский р-н, уч. Мистолово,  ЗЖК "Близкое"</t>
  </si>
  <si>
    <t>327900,00 - отдельный предв. ДКП ЗУ</t>
  </si>
  <si>
    <t>квартира № 5.7, общей площадью 58,22 кв.м., расположенной в 3х этажном доме №5 по адресу: ЛО, Всеволожский р-н, уч. Мистолово,  ЗЖК "Близкое"</t>
  </si>
  <si>
    <t>квартира № 10.6, общей площадью 112,5 кв.м., расположенной в 2х этажном доме блокированной застройки по адресу: ЛО, Всеволожский р-н, уч. Мистолово,  ЗЖК "Близкое"</t>
  </si>
  <si>
    <t>жилое помещение (жилой дом) № 1.12,  примерной площадью 132,06 кв.м.по адресу: ЛО, Всеволожский р-н, уч. Мистолово,  ЗЖК "Близкое"</t>
  </si>
  <si>
    <t>требование о передаче, по данным взнос оплачен в полном размере - не возражаем, но документы об оплате к заявлению не приложены (только кредитный договор) Отзыв по ЗУ и неустойке</t>
  </si>
  <si>
    <t>квартира № 11.5, общей площадью 83,69 кв.м., расположенной в 2х этажном доме блокированной застройки № 11 по адресу: ЛО, Всеволожский р-н, уч. Мистолово,  ЗЖК "Близкое"</t>
  </si>
  <si>
    <t>1) требование о передаче, по данным должника взнос оплачен в полном размере  - не возражаем
2) 5 005 633,70 - сумма на которую приложили платежек
3) Отзыв по ЗУ - со сслыкой на сведения от Должника по общей сумме ДДУ и их оплате</t>
  </si>
  <si>
    <t>долг 3,5 на что отнести?</t>
  </si>
  <si>
    <t>1) требование о передаче, взнос оплачен в полном размере - не возражаем
2) неправильно рассчитана сумма неустойки - есть отзыв с верным расчетом. НО он добровольно снизил размер до 900 т.р. Так что отзыв на случай, если в с/з он захочет всю сумму</t>
  </si>
  <si>
    <t>квартира № 7.2, общей площадью 86,55 кв.м., расположенной в 2х этажном доме блокированной застройки № 7 по адресу: ЛО, Всеволожский р-н, уч. Мистолово,  ЗЖК "Близкое"</t>
  </si>
  <si>
    <t>150 900 руб. - отдельный предв. ДКП</t>
  </si>
  <si>
    <t>1) требование о передаче, взнос оплачен в полном размере - не возражаем.
2) ЗУ по отдельному предв. ДКП - в 4ую очередь - см. отзыв</t>
  </si>
  <si>
    <t>квартира № 8.2, общей площадью 86,58 кв.м., расположенной в 2х этажном доме блокированной застройки № 8 по адресу: ЛО, Всеволожский р-н, уч. Мистолово,  ЗЖК "Близкое"</t>
  </si>
  <si>
    <t>квартира № 19.1, общей площадью 57,07 кв.м., расположенной в 2х этажном доме блокированной застройки № 19 по адресу: ЛО, Всеволожский р-н, уч. Мистолово,  ЗЖК "Близкое"</t>
  </si>
  <si>
    <t>1) требование о передаче, взнос оплачен в полном размере - не возражаем. Отзыв по ЗУ
2) требует уплаченные проценты по ДДУ в реестр. Видимо как убытки - в отзыве не пишу ничего, в целом не возражаем - 3 очередь</t>
  </si>
  <si>
    <t>жилое помещение (жилой дом) № 3.12 примерной площадью 104,34 кв.м.по адресу: ЛО, Всеволожский р-н, уч. Мистолово,  ЗЖК "Близкое"</t>
  </si>
  <si>
    <t>квартира № 16.7 общей площадью 86,58 кв.м., расположенной в2х этажном доме блокированной застройки № 16 по адресу: ЛО, Всеволожский р-н, уч. Мистолово,  ЗЖК "Близкое"</t>
  </si>
  <si>
    <t>квартира 4.4, общей площадью 86,58 кв.м., расположенной в 2х этажном жилом доме блокированной доме № 4 по адресу: ЛО, Всеволожский р-н, уч. Мистолово,  ЗЖК "Близкое"</t>
  </si>
  <si>
    <t>жилое помещение (жилой дом) № 3.3 примерной площадью 104,34 кв.м.по адресу: ЛО, Всеволожский р-н, уч. Мистолово,  ЗЖК "Близкое"</t>
  </si>
  <si>
    <t>Отзыв по ЗУ (в руб. на основании заявления). Нет платежных документов, по данным Должника переплата 65 т.р.</t>
  </si>
  <si>
    <t>квартира 8.3, общей площадью 86,58 кв.м., расположенной в 2х этажном жилом доме блокированной доме № 8 по адресу: ЛО, Всеволожский р-н, уч. Мистолово,  ЗЖК "Близкое"</t>
  </si>
  <si>
    <t>требование о передаче, взнос оплачен в полном размере - не возражаем. Отзыв по ЗУ. По 1/2 каждому - как в заявлении.</t>
  </si>
  <si>
    <t>квартира 21.9, общей площадью 57,07кв.м., расположенной в 2х этажном жилом доме блокированной доме № 21 по адресу: ЛО, Всеволожский р-н, уч. Мистолово,  ЗЖК "Близкое"</t>
  </si>
  <si>
    <t>квартира 5.6, общей площадью 86,24 кв.м., расположенной в 2х этажном жилом доме блокированной доме № 5 по адресу: ЛО, Всеволожский р-н, уч. Мистолово,  ЗЖК "Близкое"</t>
  </si>
  <si>
    <t>требование о передаче, взнос оплачен в полном размере - не возражаем. Отзыв по ЗУ и  неустойке</t>
  </si>
  <si>
    <t>жилое помещение (жилой дом) № 2.5 примерной площадью 98,65 кв.м.по адресу: ЛО, Всеволожский р-н, уч. Мистолово,  ЗЖК "Близкое"</t>
  </si>
  <si>
    <t>жилое помещение (жилой дом) № 4.5 примерной площадью 104,62кв.м.по адресу: ЛО, Всеволожский р-н, уч. Мистолово,  ЗЖК "Близкое"</t>
  </si>
  <si>
    <t>1) требование о передаче, взнос оплачен в полном размере - не возражаем. Отзыв по ЗУ
2) Изначально ДДУ заключен с Петростиль, затем по уступке переведен на Левендо-Софт, затем на Кредитора. 100% оплаты зачетом</t>
  </si>
  <si>
    <t>квартира № 5.5, общей площадью 72,48 кв.м., расположенной в 3х этажном доме №5 по адресу: ЛО, Всеволожский р-н, уч. Мистолово,  ЗЖК "Близкое"</t>
  </si>
  <si>
    <t>1) сумма ДДУ 3,5 млн.руб. - оплачена - не возражаем
2) сумма предварит.договора КП ЗУ - по данным Должника - долг - 75 руб., но по документам, приложенным к заявлению - оплачено полностью (в отношении ЗУ требований не заявлено) - денежное на 100 т.р. в 4 очередь (см. отзыв)
3) неустойка - перерасчет (см. отзыв)</t>
  </si>
  <si>
    <t>жилое помещение (жилой дом) № КМ.15 примерной площадью 136,37 кв.м.по адресу: ЛО, Всеволожский р-н, уч. Мистолово,  ЗЖК "Близкое"</t>
  </si>
  <si>
    <t>ООО КВОРУМ</t>
  </si>
  <si>
    <t>тр.131</t>
  </si>
  <si>
    <t>тр.88</t>
  </si>
  <si>
    <t>АО «Газпром
газораспределение Ленинградская область»</t>
  </si>
  <si>
    <t>Астанчук Ирины Георгиевны</t>
  </si>
  <si>
    <t>тр.130</t>
  </si>
  <si>
    <t>Афрамеевой Олеси Вадимовны</t>
  </si>
  <si>
    <t>тр.115</t>
  </si>
  <si>
    <t>Байбуровой Лиины Равильевны и Байбурова Александра
Игоревича</t>
  </si>
  <si>
    <t>тр.106</t>
  </si>
  <si>
    <t>тр.146</t>
  </si>
  <si>
    <t>Беленицкого Михаила Владимировича</t>
  </si>
  <si>
    <t>тр.161</t>
  </si>
  <si>
    <t>Беленицкого Бориса Владимировича</t>
  </si>
  <si>
    <t>тр.160</t>
  </si>
  <si>
    <t>Берга Максима Львовича</t>
  </si>
  <si>
    <t>тр.156</t>
  </si>
  <si>
    <t>Берновской Камиллы Александровны</t>
  </si>
  <si>
    <t>тр.110</t>
  </si>
  <si>
    <t>Бубнова Романа Николаевича и Бубновой Стефании
Романовны</t>
  </si>
  <si>
    <t>тр.78</t>
  </si>
  <si>
    <t>Веселовой Натальи Сергеевны</t>
  </si>
  <si>
    <t>тр.83</t>
  </si>
  <si>
    <t>Едемского Антона Сергеевича</t>
  </si>
  <si>
    <t>тр.113</t>
  </si>
  <si>
    <t>Зинкевича Вадима Андреевича</t>
  </si>
  <si>
    <t>тр.118</t>
  </si>
  <si>
    <t>Индивидуального предпринимателя Зыбинского
Станислава Ивановича</t>
  </si>
  <si>
    <t>тр.165</t>
  </si>
  <si>
    <t>без движения</t>
  </si>
  <si>
    <t>ИП Николаева Сергея Александровича</t>
  </si>
  <si>
    <t>тр.107</t>
  </si>
  <si>
    <t>Ищука Андрея Мстиславовича</t>
  </si>
  <si>
    <t>тр.103</t>
  </si>
  <si>
    <t>Князевой Ольги Юрьевны</t>
  </si>
  <si>
    <t>тр.135</t>
  </si>
  <si>
    <t>Кобыляченко Игоря Владимировича</t>
  </si>
  <si>
    <t>тр. 87</t>
  </si>
  <si>
    <t>тр.77</t>
  </si>
  <si>
    <t>Колесниковой Валентины Владимировны</t>
  </si>
  <si>
    <t>тр. 109</t>
  </si>
  <si>
    <t>Колесниковой Лилии Николаевны</t>
  </si>
  <si>
    <t>тр. 122</t>
  </si>
  <si>
    <t>Костикова Инна Викторовна</t>
  </si>
  <si>
    <t>тр. 112</t>
  </si>
  <si>
    <t>Кочак Ольги Сергеевны</t>
  </si>
  <si>
    <t>тр. 108</t>
  </si>
  <si>
    <t>Кузнецова Максима Анатольевича</t>
  </si>
  <si>
    <t>тр.84</t>
  </si>
  <si>
    <t>Лавретьева Алексея
Александровича</t>
  </si>
  <si>
    <t>тр. 151</t>
  </si>
  <si>
    <t>67500,00 условных единиц, исходя из курса равного 40 рублям за 1 доллар США.</t>
  </si>
  <si>
    <t>Лашмановой Виктории Александровны</t>
  </si>
  <si>
    <t>тр. 127</t>
  </si>
  <si>
    <t>Лашманова Павла Александровича и Лашмановой Анны
Алексеевны</t>
  </si>
  <si>
    <t>тр. 129</t>
  </si>
  <si>
    <t>Максимова Вячеслава Васильевича и Максимовой
Любови Алексеевны</t>
  </si>
  <si>
    <t>тр. 100</t>
  </si>
  <si>
    <t>Марченко Кирилла Игоревича и Марченко Марии
Андреевны</t>
  </si>
  <si>
    <t>тр. 102</t>
  </si>
  <si>
    <t>Муравьевой Ирины Владимировны</t>
  </si>
  <si>
    <t>тр. 89</t>
  </si>
  <si>
    <t>Нефедовой Наталии Александровны</t>
  </si>
  <si>
    <t>тр. 125</t>
  </si>
  <si>
    <t>Омельченко Александра Владимировича</t>
  </si>
  <si>
    <t>тр. 80</t>
  </si>
  <si>
    <t>тр. 132</t>
  </si>
  <si>
    <t>ООО Гарант</t>
  </si>
  <si>
    <t>ООО «Бригаду Надо»</t>
  </si>
  <si>
    <t>тр.104</t>
  </si>
  <si>
    <t>ООО «Ленвендо-М»</t>
  </si>
  <si>
    <t>тр. 91</t>
  </si>
  <si>
    <t>ООО «Ленвендо-Софт»</t>
  </si>
  <si>
    <t>тр.86</t>
  </si>
  <si>
    <t>тр. 92</t>
  </si>
  <si>
    <t>ООО «Планета Генплан»</t>
  </si>
  <si>
    <t>тр. 126</t>
  </si>
  <si>
    <t>Осипишина Вадима Николаевича и Осипишиной Анны
Владимировны</t>
  </si>
  <si>
    <t>тр.96</t>
  </si>
  <si>
    <t>Осломенко Дениса Валерьевича</t>
  </si>
  <si>
    <t>тр. 94</t>
  </si>
  <si>
    <t>Осломенко Ольги Васильевны</t>
  </si>
  <si>
    <t>тр. 123</t>
  </si>
  <si>
    <t>Пискаревой Людмилы Сергеевны</t>
  </si>
  <si>
    <t>тр.116</t>
  </si>
  <si>
    <t>Прохоренко Алексея Михайловича и Прохоренко Марины Геннадьевны</t>
  </si>
  <si>
    <t>тр. 99</t>
  </si>
  <si>
    <t>Прохоренко Елены Владимировны</t>
  </si>
  <si>
    <t>тр. 121</t>
  </si>
  <si>
    <t>Проценко Сергея Павловича и Проценко Яны Викторовны</t>
  </si>
  <si>
    <t>тр. 128</t>
  </si>
  <si>
    <t>тр.169</t>
  </si>
  <si>
    <t>Савицкого Дмитрия Александровича и
Савицкой Марины Владимировны</t>
  </si>
  <si>
    <t>тр. 114</t>
  </si>
  <si>
    <t>Салычева Андрея Владимировича и Богомоловой Елены
Николаевны</t>
  </si>
  <si>
    <t>тр. 97</t>
  </si>
  <si>
    <t>Синицына Сергея Константиновича</t>
  </si>
  <si>
    <t>тр. 111</t>
  </si>
  <si>
    <t>тр. 120</t>
  </si>
  <si>
    <t>Телегаева Александра Григорьевича</t>
  </si>
  <si>
    <t>тр.76</t>
  </si>
  <si>
    <t>Торбуновой Инны Сергеевны</t>
  </si>
  <si>
    <t>тр. 79</t>
  </si>
  <si>
    <t>Федорова Федора Анатольевича</t>
  </si>
  <si>
    <t>тр. 119</t>
  </si>
  <si>
    <t>Филареева Алексея Андреевича и Филареевой Анастасии
Александровны</t>
  </si>
  <si>
    <t>тр. 98</t>
  </si>
  <si>
    <t>Ходовой Ирины Владиславовны</t>
  </si>
  <si>
    <t>тр. 105</t>
  </si>
  <si>
    <t>Шатохина Никиты Андреевича</t>
  </si>
  <si>
    <t>тр.82</t>
  </si>
  <si>
    <t>Шутова Сергея Викторовича</t>
  </si>
  <si>
    <t>тр.117</t>
  </si>
  <si>
    <t>Шелеховой Анны Яковлевны</t>
  </si>
  <si>
    <t>тр. 81</t>
  </si>
  <si>
    <t>квартира № 3.2, примерная общая площадь 55,14 кв.м., расположенная на 0 и 1 этажах
жилого дома № 3 блокированной постройки по строительному адресу: Ленинградская
область, Всеволожский р-н, уч. Мистолово, ЗЖК «Близкое»,
1-я очередь строительства, кадастровый номер 47:07:0713002:272</t>
  </si>
  <si>
    <t>квартира № 14.3, этажность 1-2, примерная общая площадь 86,55
кв.м., расположенная в жилом доме № 14 блокированной постройки по строительному
адресу: ЛО, Всеволожский р-н, уч. Мистолово, загородный жилой
комплекс «Близкое», 1-я очередь строительства, кадастровый номер 47:07:0713002:1105</t>
  </si>
  <si>
    <t>блок-секция (квартира) №21.2, примерная общая площадь 105,50 кв.м., расположенная в жилом доме блокированной застройки № 21 по строительномуадресу: ЛО, Всеволожский р-н, уч. Мистолово, ЗЖК «Близкое», 2-я очередь строительства, кадастровый номер 47:07:0713002:1448.</t>
  </si>
  <si>
    <t>двухэтажный жилой дом № 2.6, примерная общая площадь 103.65 кв.м.,
расположенного по строительному адресу: ЛО, Всеволожский
р-н, уч. Мистолово, ЗЖК «Близкое», 1-я очередь
строительства, кадастровый номер 47:07:0713002:1107</t>
  </si>
  <si>
    <t>квартира № 12.1, примерная общая площадь 86,55 кв.м., расположенная в жилом доме
блокированной застройки № 12, расположенного по строительному адресу:
ЛО, Всеволожский р-н, уч. Мистолово, загородный жилой
комплекс «Близкое», 1-я очередь строительства, кадастровый номер 47:07:0713002:1105</t>
  </si>
  <si>
    <t>блок-секция (квартира) № 9.3, этажность 1-2. примерная общая
площадь 86,55 кв.м., расположенная в жилом доме блокированной застройки № 9 по
строительному адресу: ЛО, Всеволожский р-н, уч. Мистолово,
ЗЖК «Близкое», 1-я очередь строительства, кадастровый номер
47:07:0713002:1105,включая долю в праве общей собственности на общее имущество и
земельный участок примерной площадью 83 кв.м., а также о включении в реестр
требований кредиторов о передаче жилых помещений требования о передаче объекта со
следующими характеристиками: двухэтажный жилой дом № 5.4. примерная общая
площадь 107.85 кв.м., расположенный по строительному адресу: ЛО, Всеволожский р-н, уч. Мистолово, ЗЖК «Близкое»,
1-я очередь строительства, включая долю в праве общей собственности на общее
имущество и земельный участок примерной площадью 40 кв.м.</t>
  </si>
  <si>
    <t>1) требование о передаче - оплачено, возражений нет, Отзыв по ЗУ
2) в тексте заявления ссылается на предв. ДКП ЗУ на сумму 113700, но в просительной части ничего про ЗУ - если устно заявит - рассказываем историю про прекратившийся ПДКП - сумму по кот., если она оплачена - в 4ую очередь
3) Изначально ДДУ заключен с др. ФЛ, была уступка</t>
  </si>
  <si>
    <t>требования о передаче объекта со следующими характеристиками в виде ½ доли в праве общей долевой собственности каждому: квартира № 3.15, примерная общая площадь 58,22 кв.м.,
расположенная на 2 этаже жилого дома № 3 блокированной постройки по строительному адресу: ЛО, Всеволожский р-н, уч. Мистолово,
ЗЖК «Близкое», 1-я очередь строительства, кадастровый номер 47:07:0713002:272</t>
  </si>
  <si>
    <t>блок-секция (квартира) №18.1, примерная общая площадь 86,24 кв.м., расположенная в жилом доме блокированной застройки № 18 по строительному адресу: ЛО, Всеволожский р-н, уч. Мистолово, ЗЖК «Близкое», 1-я
очередь строительства, кадастровый номер 47:07:0713002:1105.</t>
  </si>
  <si>
    <t>требование по ДДУ оплачено частично!</t>
  </si>
  <si>
    <t>Морозова С.Н. Морозов А.М.</t>
  </si>
  <si>
    <t>тр.90</t>
  </si>
  <si>
    <t>двухэтажный жилой дом, проектный номер
3.5, примерная общая площадь 104,34 кв.м., расположенный по строительному адресу:
Ленинградская область, Всеволожский район, уч. Мистолово, загородный жилой
комплекс «Близкое», 1-я очередь строительства, кадастровый номер 47:07:0713002:1107;
а также земельный участок, площадью 436 кв. м., выделенный из земельного участка с
кадастровым номером 47:07:0713002:1107 по адресу Ленинградская область,
Всеволожский район, уч. Мистолово,</t>
  </si>
  <si>
    <t>1) ДДУ оплачен - стоимость ЖП за вычетом ЗУ
2) денежное требование: 420 086 - неотработанный аванс+ расходы на экспертизу: квалификация требований - убытки или что? Пусть Кредитор поясняет. Если суд посчитает нужным включать - 4 оч.</t>
  </si>
  <si>
    <t>квартира № 4.7, примерная общая площадь 115,31 кв.м., расположенная в жилом доме № 4 блокированной постройки по строительному адресу: ЛО, Всеволожский р-н, уч. Мистолово, загородный жилой комплекс «Близкое», 1-я очередь строительства, кадастровый номер 47:07:0713002:1105</t>
  </si>
  <si>
    <t>двухэтажный жилой дом № 3.1, примерная общая площадь 104,62 кв.м., расположенный по строительному адресу: ЛО, Всеволожский р-н,
уч. Мистолово, ЗЖК «Близкое», 1-я очередь строительства, кадастровый номер 47:07:0713002:1107.</t>
  </si>
  <si>
    <t>двухэтажный жилой дом № 3.6, примерная общая площадь 107,85 кв.м., расположенный по строительному адресу: ЛО, Всеволожский р-н,
уч. Мистолово, ЗЖК «Близкое», 1-я очередь строительства, кадастровый номер 47:07:0713002:1107, земельный участок площадью 430 кв.м.,</t>
  </si>
  <si>
    <t>двухэтажный жилой дом № 3.4, примерная
общая площадь 110,02 кв.м., расположенный по строительному адресу: Ленинградская
область, Всеволожский р-н, уч. Мистолово, ЗЖК «Близкое», 1-я очередь строительства, кадастровый номер 47:07:0713002:1107, земельный участок площадью 414 кв.м.</t>
  </si>
  <si>
    <t>двухэтажный жилой дом № 3.7, примерная
общая площадь 104,34 кв.м., расположенный по строительному адресу: Ленинградская
область, Всеволожский р-н, уч. Мистолово, ЗЖК «Близкое», 1-я очередь строительства, кадастровый номер 47:07:0713002:1107, земельный участок площадью 414 кв.м.</t>
  </si>
  <si>
    <t>двухэтажный жилой дом № 1,6, примерная общая
площадь 102,2 кв.м., расположенный по строительному адресу: ЛО, Всеволожский р-н, уч. Мистолово, ЗЖК «Близкое», 1-я очередь строительства, кадастровый номер 47:07:0713002:1107, земельный участок
площадью 405,53 кв.м.</t>
  </si>
  <si>
    <t>1) ДДУ оплачен - стоимость ЖП за вычетом ЗУ
2) дольщиком оплачены 15 т.р. - видимо какие-то услуги Близкого (требования не заявляются)</t>
  </si>
  <si>
    <t>тр.101</t>
  </si>
  <si>
    <t>1) дольщик по уступке прав по ДДУ, ДДУ оплачен, не возражаем
2) ДДУ в условных единицах - расчет см. отзыв</t>
  </si>
  <si>
    <t>ДДУ оплачен - стоимость ЖП за вычетом ЗУ</t>
  </si>
  <si>
    <t>квартира № 2.4, примерная общая площадь 83,23 кв.м., расположенная в жилом доме блокированной застройки № 2, расположенного по
строительному адресу: ЛО, Всеволожский р-н, уч. Мистолово, ЗЖК «Близкое», 1-я очередь строительства, кадастровый номер
47:07:0713002:1105, а также земельный участок под домом; передать в собственность
ООО «Ленвендо-Софт» по Договору купли-продажи земельного участка на условиях,
предусмотренных дополнительным соглашением от 14.10.2015 к договору № 157-2014БТ от 27..06.2014 два земельных участка примерной площадью 76 кв.м., выделение которых застройщик производит из состава земельного участка, указанного в п. 1.1.3.1 настоящего договора</t>
  </si>
  <si>
    <t>двухэтажный жилой дом № 4.7, примерная
общая площадь 132,6 кв.м., расположенный по строительному адресу: Ленинградская
область, Всеволожский р-н, уч. Мистолово, ЗЖК «Близкое», 1-я очередь строительства, кадастровый номер 47:07:0713002:1107, земельный участок площадью 603 кв.м.</t>
  </si>
  <si>
    <t>двухэтажный жилой дом № 1.8, примерная
общая площадь 107,85 кв.м., расположенный по строительному адресу: Ленинградская
область, Всеволожский р-н, уч. Мистолово, ЗЖК «Близкое», 1-я очередь строительства, кадастровый номер 47:07:0713002:1107, земельный участок площадью 410 кв.м.</t>
  </si>
  <si>
    <t>двухэтажный жилой дом № 4.1, примерная
общая площадь 110,02 кв.м., расположенный по строительному адресу: Ленинградская
область, Всеволожский р-н, уч. Мистолово, ЗЖК «Близкое», 1-я очередь строительства, кадастровый номер 47:07:0713002:1107, земельный участок площадью 438 кв.м.</t>
  </si>
  <si>
    <t>двухэтажный жилой дом № 2.10, примерная общая площадь 133,06 кв.м., расположенный по строительному адресу: ЛО, Всеволожский
р-н, уч. Мистолово, ЗЖК «Близкое», 1-я очередь
строительства, кадастровый номер 47:07:0713002:1107, а также долю на общее
имущество, земельный участок площадью 605 кв.м.,</t>
  </si>
  <si>
    <t>Сумма, уплаченная кредитором</t>
  </si>
  <si>
    <t>ДДУ оплачен - стоимость ЖП за вычетом ЗУ.</t>
  </si>
  <si>
    <t>ДДУ оплачен - стоимость ЖП за вычетом ЗУ.
1) ДДУ оплачен частично векселями, частично - зачетом.  Было бы логично поинтерсоваться оплачены ли векселя (векселедатель - Петростиль, срок оплаты янв.2015), какие обязательства зачитывались</t>
  </si>
  <si>
    <t>квартира № 2.5, расположенная на 2 этаже трехэтажного многоквартирного жилого дома № 2, примерная общая площадь 37,57 кв.м.,
расположенный по строительному адресу: ЛО, Всеволожский р-н, уч. Мистолово, ЗЖК «Близкое», 1-я очередь строительства, кадастровый номер 47:07:0713002:272</t>
  </si>
  <si>
    <t>ДДУ оплачен - не возражаем</t>
  </si>
  <si>
    <t>квартира № 19.10, примерная общая площадь 105.5 кв.м., расположенная в жилом доме блокированной застройки № 19, расположенного по строительному адресу: ЛО, Всеволожский р-н, уч. Мистолово, ЗЖК «Близкое», 2-я очередь строительства, кадастровый номер
47:07:0713002:1448</t>
  </si>
  <si>
    <t>1) стоимость ЖП за вычетом ЗУ
2) нет платежек, только акт об исполнении фин.обязательств</t>
  </si>
  <si>
    <t>квартира № 3.12, примерная общая площадь 64,47 кв.м., расположенная в жилом доме блокированной застройки № 3, расположенного по строительному адресу: ЛО, Всеволожский р-н, уч. Мистолово,ЗЖК «Близкое», 1-я очередь строительства, кадастровый номер 47:07:0713002:272</t>
  </si>
  <si>
    <t>квартира № 7.12, примерная общая площадь
35,82 кв.м., расположенная в жилом доме блокированной застройки № 7,
расположенного по строительному адресу: ЛО, Всеволожский р-н, уч. Мистолово, ЗЖК «Близкое», 1-я очередь строительства, кадастровый номер 47:07:0713002:272 и долю в праве общей долевой
собственности на земельный участок общей площадью 13500 кв.м., кадастровый номер
47:07:0713002:272</t>
  </si>
  <si>
    <t>1) по данным Должника ДДУ оплачен, к заявлению не приложены перечисления по кредиту
2) в целом не возражаем</t>
  </si>
  <si>
    <t>квартира № 4.14, примерная общая площадь 36,16 кв.м., расположенная в жилом доме блокированной застройки № 4, расположенного по
строительному адресу: ЛО, Всеволожский р-н, уч. Мистолово, ЗЖК «Близкое», 1-я очередь строительства, кадастровый номер
47:07:0713002:272.</t>
  </si>
  <si>
    <t>1) первонач. Дольщик Петростиль уступил на ФЛ
2) Петростиль сделал 1й взнос в размере 81 346, на эту сумму платежки нет, НО она учтена в соглашении об уступке (3х сторонняя - в т.ч. Близкое), так что не возражаем</t>
  </si>
  <si>
    <t>только требование о передаче. По данным должника полностью оплачен 7 677 131,86 - не возражаем. Отзыв - расчет стоимости ЗУ, ЖП</t>
  </si>
  <si>
    <t>квартира № 7.4, примерная общая площадь 39,42 кв.м., расположенная в жилом доме блокированной застройки № 7, расположенного по
строительному адресу: ЛО, Всеволожский р-н, уч. Мистолово, ЗЖК «Близкое», 1-я очередь строительства, кадастровый номер
47:07:0713002:272</t>
  </si>
  <si>
    <t>ДДУ оплачен (частично зачет - возможно суд захочет понять какие обязательства зачитывались) - не возражаем</t>
  </si>
  <si>
    <t>квартира № 6.16, расположенная в жилом доме блокированной застройки № 6, примерная общая площадь 48,73 кв.м., расположенного по строительному адресу: ЛО, Всеволожский р-н, уч. Мистолово, загородный жилой комплекс «Близкое», 1-я очередь строительства, кадастровый номер 47:07:0713002:272.</t>
  </si>
  <si>
    <t>1) дольщик по уступке прав
2) не приложены документы по оплате ДДУ (только оплата цессии), но по данным Должника ДДУ оплачен - не возражаем</t>
  </si>
  <si>
    <t>1) ФЛ заключил предварительный ДДУ. Должник считает, что у него нет прав дольщика и все должно включаться в4 очередь
2) см. выдержки из ст. 201.1: суд вправе признать наличие денежного требования участника строительства в случае заключения предв. ДДУ</t>
  </si>
  <si>
    <t>квартира № 3.14, расположенная в жилом доме блокированной застройки № 3,
примерная общая площадь 39,88 кв.м., расположенного по строительному адресу:
ЛО, Всеволожский р-н, уч. Мистолово, загородный жилой комплекс «Близкое», 1-я очередь строительства, кадастровый номер 47:07:0713002:272</t>
  </si>
  <si>
    <t>??</t>
  </si>
  <si>
    <t>квартира № 11.4, общей площадью 86,55 кв.м., расположенной в 2х этажном доме блокированной застройки № 11 по адресу: ЛО, Всеволожский р-н, уч. Мистолово,  ЗЖК "Близкое"</t>
  </si>
  <si>
    <t>двухэтажный жилой дом № 1.3, примерная общая площадь 104,62 кв.м., расположенного по строительному адресу: ЛО, Всеволожский
р-н, уч. Мистолово, ЗЖК «Близкое», 1-я очередь строительства, кадастровый номер 47:07:0713002:1107, земельный участок площадью
400 кв.м.,</t>
  </si>
  <si>
    <t>1) по данным Должника ДДУ оплачен, в адрес ВУ квитанции об оплате не направлялись. Требование о передаче - не возражаем. Сумма ЖП за вычетом стоимости ЗУ (отзыв)
2) неправильно рассчитана неустойка - наш расчет см. отзыв. Кредитор берет дату предполагаемой сдачи квартиры из ДДУ, но было подписано ДС (перенос сдачи) - см. приложение к отзыву (ваш экз. без приложения ДС, ДС есть в документах после заявления)
3) по неустойке и штрафам - Должник должен заявить о снижении по ст. 333 ГК РФ, - поддерживаем - 4 очередь
4) моральный вред - на усмотрение суда - 4 очередь (просит 200 т.р.)</t>
  </si>
  <si>
    <t>1) стоимость ЖП за вычетом ЗУ
2) не приложены квитанции об оплате - если у суда есть - не возражаем (по данным Должника - нет задолженности)</t>
  </si>
  <si>
    <t>квартира № 5.1, расположенная в жилом доме блокированной застройки № 5, примерная общая площадь 106,40 кв.м., расположенный по строительному адресу: ЛО, Всеволожский р-н, уч. Мистолово, ЗЖК «Близкое», 1-я очередь строительства, кадастровый номер 47:07:0713002:1105, земельного участка примерной площадью 393,50 кв.м.</t>
  </si>
  <si>
    <t>квартира № 10.3, примерная общая площадь 56,0 кв.м., расположенная в жилом доме блокированной застройки № 10, расположенного по строительному адресу: ЛО, Всеволожский р-н, уч. Мистолово, загородный жилой комплекс «Близкое», 1-я очередь строительства, кадастровый номер 47:07:0713002:1105</t>
  </si>
  <si>
    <t>двухэтажный жилой дом № 1.11, примерная общая площадь 104,34 кв.м., расположенный по строительному адресу: ЛО, Всеволожский р-н,
уч. Мистолово, ЗЖК «Близкое», 1-я очередь строительства, кадастровый номер 47:07:0713002:1107, земельный участок общей площадью 409,0 кв.м</t>
  </si>
  <si>
    <t>квартира № 13.6, примерная общая площадь 75,0 кв.м., расположенная в жилом доме блокированной застройки № 13, расположенного по строительному адресу: ЛО, Всеволожский р-н, уч. Мистолово, загородный жилой комплекс «Близкое», 1-я очередь строительства, кадастровый номер 47:07:0713002:1105.</t>
  </si>
  <si>
    <t>квартира № 13,8, примерная общая площадь 180,0 кв.м., расположенная в жилом доме блокированной застройки № 13, расположенного по строительному адресу: ЛО, Всеволожский р-н, уч. Мистолово, загородный жилой комплекс «Близкое», 1-я очередь строительства, кадастровый номер 47:07:0713002:1105.</t>
  </si>
  <si>
    <t>1) общая сумма ДДУ: 39 726 000,00. Оплата векселями на сумму 39 725 555,94. В суд также направлялась платежка (возможно на остаток - 444,60 руб.) - по данным Должника оплачено
2) в реестр - за вычетом стоимости ЗУ
3) суд должен заинтересоваться судьбой векселей</t>
  </si>
  <si>
    <t>по данным Должника ДДУ оплачен, в реестр за вычетом стоимости ЗУ</t>
  </si>
  <si>
    <t>квартира № 19.9, расположенная в жилом доме блокированной застройки № 19, примерная общая площадь 56,9 кв.м., расположенный по
строительному адресу: ЛО, Всеволожский р-н, уч. Мистолово, ЗЖК «Близкое», 2-я очередь строительства, кадастровый номер 47:07:0713002:1448, земельного участка  римерной площадью 21 кв.м.,</t>
  </si>
  <si>
    <t xml:space="preserve">1) по данным Должника ДДУ оплачен, в реестр за вычетом стоимости ЗУ (отзыв)
2) неустойка - перерасчетв отзыве. Должник должен ходатайствовать о снижении - поддерживаем
</t>
  </si>
  <si>
    <t>двухэтажный жилой дом № 2.12, примерная общая площадь 132,06 кв.м., расположенный по строительному адресу: ЛО, Всеволожский
р-н, уч. Мистолово, ЗЖК «Близкое», 1-я очередь
строительства, кадастровый номер 47:07:0713002:1107, земельный участок площадью
598,07 кв.м.</t>
  </si>
  <si>
    <t>квартира № 12.4, расположенная в жилом доме блокированной застройки № 12, примерная общая площадь 86,58 кв.м., расположенный по строительному адресу: ЛО, Всеволожский р-н, уч. Мистолово, загородный жилой комплекс «Близкое», 1-я очередь строительства, кадастровый номер 47:07:0713002:1105</t>
  </si>
  <si>
    <t>1) по данным Должника ДДУ оплачен
2) Кредитор не приложил ДС к ДДУ, в котором меняется предмет ДДУ (в ДДУ - другая квартира, а в просит. части заявления квартира из ДС) и стоимость ЗУ - в папке в 3х экз. - устно расскажите об этом, приобщите ДС к материалам</t>
  </si>
  <si>
    <t>двухэтажный жилой дом № 5.8, примерная общая площадь 163,8 кв.м., расположенный по строительному адресу: ЛО, Всеволожский
р-н, уч. Мистолово, ЗЖК «Близкое», 1-я очередь строительства, кадастровый номер 47:07:0713002:1107, земельный участок площадью 561,5 кв.м., долю на общее имущество,</t>
  </si>
  <si>
    <t>квартира № 6.10, примерная общая площадь 35,48 кв.м., расположенная в трехэтажном многоквартирном жилом доме № 6, расположенном по строительному адресу: ЛО, Всеволожский р-н, уч. Мистолово, загородный жилой комплекс «Близкое», 1-я очередь строительства, кадастровый номер 47:07:0713002:272</t>
  </si>
  <si>
    <t xml:space="preserve">
Договора оплачен, не возражаем. ДДУ в у.е. - см. отзыв - расчет по ЗУ/ЖП отношению</t>
  </si>
  <si>
    <t>1) по данным Должника ДДУ оплачен - но к заявлению не приложен ни один платежный документ, кроме Акта об исполнении обязательств. Спросите устно, каким образом оплачивался ДДУ: деньги, векселя, зачет
2) ДДУ в у.е. - см. отзыв - расчет ЗУ/ЖП по отношению</t>
  </si>
  <si>
    <t xml:space="preserve">1) по сведениям Должника ДДУ оплачен
2) частично (на 3,8 млн.) ДДУ оплачен зачетом от 15.03.18. Было бы логично понять какие обязательства зачитывались. На электронку Кредитору я об этом написала </t>
  </si>
  <si>
    <t>квартира № 7.8, примерная общая площадь 35,82 кв.м., расположенная на 2 этаже трехэтажного
многоквартирного жилого дома № 7, расположенного по строительному адресу:
ЛО, Всеволожский р-н, уч. Мистолово, загородный жилой комплекс «Близкое», 1-я очередь строительства, кадастровый номер 47:07:0713002:272</t>
  </si>
  <si>
    <t>квартира № 3.3, примерная общая площадь 38.41 кв.м., расположенная на 1 этаже трехэтажного многоквартирного жилого дома № 3, расположенного по строительному адресу: ЛО, Всеволожский р-н, уч. Мистолово, загородный жилой комплекс «Близкое», 1-я очередь строительства, кадастровый номер 47:07:0713002:272.</t>
  </si>
  <si>
    <t>ДДУ оплачен, не возражаем</t>
  </si>
  <si>
    <t>тр.66</t>
  </si>
  <si>
    <t>109 600=10000+99600</t>
  </si>
  <si>
    <t>Задолженность подтверждена судебным актом, вступившим в силу - 03.11.2017, т.е. после принятия заявления о признании Должника банкротом (05.05.17), поэтому госпошлина - текущие требования, в реестр не включаются. Задолженность в 4ую</t>
  </si>
  <si>
    <t>Требование о взыскании неустойки, штрафа и %%. Должник должен ходатайствовать о снижении по ст. 333 ГК РФ - поддерживаем.
Правильный расчет неустойки, штрафа и процентов по 395 - см. отзыв
По процентам по 317.1 - считаем не подлежат начислению</t>
  </si>
  <si>
    <t>Кредитор в СОЮ признал право собственности на недострой. Денежное требование состоит из:
1) 1 277 826 руб. – сумма невыполненных работ по договору долевого участия (то, что Близкое недостроило)
2) 300 000 руб. – сумма переплаты по договору, подлежащая возврату (по ДС № 1) - нет вопросов
3) 716 057,52 руб. – сумма затрат (убытков) кредитора (то, что Кредитор потратил, чтобы достроить дом, т.е. то, что д.б. сделать Близкое по всей видимости).
Устно просим уточнить у Кредитора характер 3ей части требования. В моем понимании 1ое и 3е требование по сути одно и то же. Т.е. Кредитор хочет забрать часть денег за работы, кот. Близкое не выполнил, и стоимость тех же работ (их части), кот.  хочет возложить на Близкое</t>
  </si>
  <si>
    <t>з, 8,
тр.47</t>
  </si>
  <si>
    <t>2 требования. Должник и ФНС должны были свериться.
Если суд будет включать в реестр - нужно записать, в каком размере, в какую очередь. Взносы в ПФР - 2 очередь, остальное в 4ую.</t>
  </si>
  <si>
    <t>1) неустойка по судебному акту - отзыв (приобщался в 1ом с/з)
2) признали право собственности на ОНС в общей юрисдикции - основание для прекращения производства по делу в соотв. подп. 2 п. 1 ст. 150 АПК РФ</t>
  </si>
  <si>
    <r>
      <t xml:space="preserve">
Кредитор включается на основании 3ех судебных актов:
1) по данным Должника задолженность в размере 1 522 700 - погашена - см. платежку + постановление об окончании исп.производства - Должник об этом заявит (в этой части просим отказать) 
2)  </t>
    </r>
    <r>
      <rPr>
        <b/>
        <sz val="10"/>
        <color theme="1"/>
        <rFont val="Arial"/>
        <family val="2"/>
        <charset val="204"/>
      </rPr>
      <t>99 600</t>
    </r>
    <r>
      <rPr>
        <sz val="10"/>
        <color theme="1"/>
        <rFont val="Arial"/>
        <family val="2"/>
        <charset val="204"/>
      </rPr>
      <t xml:space="preserve"> - оплата услуг представителя на осн. определения от 19.09.16, если суд. акт вступил в силу после 05.05.2017 то текущие, в реестр не включаются, если до - 4 оч.
3) 10 т.р. - моральный, 605 510 - %% - 4 оч.</t>
    </r>
  </si>
  <si>
    <t>1) денежное требование на основании утвержденного судом мирового соглашения - ранее приобщали отзыв
2) есть вопрос к 50 т.р. -  Кредитор должен пояснить что это (уже понесенные или будущие расходы)
3) видимо Кредитор не отказывается от ДДУ, сл-но, должен еще заявить требование о включении жил.пом. в реестр о передаче</t>
  </si>
  <si>
    <t>Веркеева М.В.</t>
  </si>
  <si>
    <t>Зотов Ю.С.</t>
  </si>
  <si>
    <t>1) денежное требование на основании судебного акта - не возражаем (см. разбивку в таблице)
2) решение вступило в законную силу 24.10.17 (после 05.05.17 - возбуждение дела о банкротстве) - суд. расходы 39 300 - текущие в реестр не включаются
3) 285 000 - по предв. ДКП ЗУ - не требование по ДДУ - в 4 ую очередь (вместе с моральным в размере 10 т.р.)</t>
  </si>
  <si>
    <t>Ручина Максима Алексеевича и Ручиной Екатерины Сергеевны</t>
  </si>
  <si>
    <t>1) денежное требование из предварительного ДКП ЗУ, по которому не был заключен основной договор - не возражаем - 4 оч.
2) проценты - ок - 4 оч.</t>
  </si>
  <si>
    <t>1) денежное требование на основании судебного акта - не возражаем (см. разбивка в таблице)</t>
  </si>
  <si>
    <t>блок-секция (жилое помещение) № 19.4, примерной площадью 102,7 кв.м., расположенной в 2ух этажном доме блокированной застройки № 19 по адресу: ЛО, Всеволожский р-н, уч. Мистолово,  ЗЖК "Близкое"</t>
  </si>
  <si>
    <t>1) Кредитор изменил требования: с денежного на требование о передаче ЖП - ок
2) Стоимость ЖП за вычетом ЗУ - см. таблицу</t>
  </si>
  <si>
    <t>1) Просит включить денежное требование 3 очереди - ДДУ оплачен (часть оплаты (3,7 млн.) - зачет (рекламные услуги). 
2) В соотв. с положениями ст.9 ФЗ № 214  отказ д.б. направлен Застройщику заказным письмом с описью, ДДУ считается расторгнутым с момента направления такого уведомления. Кредитор должен соблюсти процедуру надлежащего уведомления Застройщика об отказе.</t>
  </si>
  <si>
    <r>
      <t xml:space="preserve">Неструева И.Ю.
</t>
    </r>
    <r>
      <rPr>
        <b/>
        <sz val="10"/>
        <color theme="1"/>
        <rFont val="Arial"/>
        <family val="2"/>
        <charset val="204"/>
      </rPr>
      <t>При отложении с/з оглашено на 11-13, определение отписано на 12-25</t>
    </r>
    <r>
      <rPr>
        <sz val="10"/>
        <color theme="1"/>
        <rFont val="Arial"/>
        <family val="2"/>
        <charset val="204"/>
      </rPr>
      <t xml:space="preserve"> </t>
    </r>
  </si>
  <si>
    <t>Чардымского Антона Андреевича</t>
  </si>
  <si>
    <t>тр.95</t>
  </si>
  <si>
    <t>двухэтажный жилой дом № КМ.12, примерная общая площадь 137,26 кв.м., расположенный по строительному адресу: Ленинградская область,
Всеволожский район, уч. Мистолово, загородный жилой комплекс «Близкое», 1-я очередь строительства, кадастровый номер 47:07:0713002:1107, а также долю на общее имущество, земельный участок площадью 1134 кв.м.,</t>
  </si>
  <si>
    <t>16 417 122 руб., уплаченных кредитором по
договору участия в долевом строительстве № 229-2015БК от 13.07.2016.</t>
  </si>
  <si>
    <t>Бузыцкова Артема Владимировича</t>
  </si>
  <si>
    <t>тр. 124</t>
  </si>
  <si>
    <t>двухэтажный жилой дом № 1.7, примерная общая площадь 104,62 кв.м., расположенный по строительному адресу: Ленинградская область, Всеволожский
район, уч. Мистолово, загородный жилой комплекс «Близкое», 1-я очередь строительства, кадастровый номер 47:07:0713002:1107, земельный участок площадью 399,97 кв.м., долю на общее имущество</t>
  </si>
  <si>
    <t>возражений нет, ДДУ оплачен, в реестр стоимость ДДУ за вычетом ЗУ</t>
  </si>
  <si>
    <t>тр. 93</t>
  </si>
  <si>
    <t>двухэтажный жилой дом № 3.11, примерная общая площадь 104,62 кв.м., расположенный по строительному адресу: ЛО, Всеволожский район, уч. Мистолово, загородный жилой комплекс «Близкое», 1-я очередь строительства, кадастровый номер 47:07:0713002:1107, а также долю на общее имущество, земельный участок площадью 412,55 кв.м.,</t>
  </si>
  <si>
    <t>ДДУ оплачен - стоимость ЖП за вычетом ЗУ.
1) частично оплачен векселями Петростиль
2) ДДУ через уступку</t>
  </si>
  <si>
    <t xml:space="preserve">Козловой Марины Валентиновны (в определении на 10-06, но в эл.версии скорее всего на 10-08) </t>
  </si>
  <si>
    <t>Кузьмина Александра Васильевича</t>
  </si>
  <si>
    <t>тр.75</t>
  </si>
  <si>
    <t>квартира № 2.3, примерная общая площадь 39,88 кв.м., расположенная на 1 этаже жилого дома № 2 блокированной постройки по
строительному адресу: Ленинградская область, Всеволожский район, уч. Мистолово, загородный жилой комплекс «Близкое», 1-я очередь строительства, кадастровый номер47:07:0713002:272</t>
  </si>
  <si>
    <t xml:space="preserve">1) по данным Должника взнос оплачен, есть акт, НО большинство платежек на выдачу наличных средств Банком, а не на перечисление Близкому </t>
  </si>
  <si>
    <t>1) по данным Должника взнос оплачен</t>
  </si>
  <si>
    <t>Денежное требование по 2ум договорам об оказании услуг.
К заявлению не приложены подписанные сторонами акты об оказанных услугах, предлагаем Кредитору приобщить их к материалам дела</t>
  </si>
  <si>
    <t>квартира № 2.8, примерная общая площадь 55,17 кв.м., расположенная на 2 этаже трехэтажного
многоквартирного жилого дома № 2, расположенного по строительному адресу:
ЛО, Всеволожский р-н, уч. Мистолово, загородный жилой комплекс «Близкое», 1-я очередь строительства, кадастровый номер 47:07:0713002:272</t>
  </si>
  <si>
    <t xml:space="preserve">вся сумма ДДУ оплачена зачетом встречный требований (2016 год)
</t>
  </si>
  <si>
    <t>квартира № 6.18, примерная общая площадь 34,57 кв.м., расположенная на 2 этаже трехэтажного многоквартирного жилого дома № 6,
расположенного по строительному адресу: ЛО, Всеволожский р-н, уч. Мистолово, ЗЖК «Близкое», 1-я очередь строительства, кадастровый номер 47:07:0713002:272</t>
  </si>
  <si>
    <t>ПЕТРОСТИЛЬ ПОДАЛ ОТКАЗ ОТ ТРЕБОВАНИЙ
Близкое взяло кредит у Банка. Петростиль поручился перед Банком за долг Близкое. Петростиль ушел в банкротство (наблюдение).  К нему в реестр включился Банк. Затем Банк уступил свою задолженность двум ООО (они заправопреемились). Нужно представить в материалы дела документы, подтверждающие что Петростиль гасил этим ООО задолженность по кредиту. Откладываемся</t>
  </si>
  <si>
    <t>Фуксман М.Б.</t>
  </si>
  <si>
    <t>тр. 173</t>
  </si>
  <si>
    <r>
      <t xml:space="preserve">Задолженность за период с 09.06.2017 по 31.08.2017 - возникли после возбуждения дела о банкротстве (05.05.17) - текущие, в реестр требований кредиторов включению не подлежат. См. положения Пленума: задолженность по зарплате включается в реестр самим управляющим, работники в суд не обращаются (только если есть разногласия по размеру)
</t>
    </r>
    <r>
      <rPr>
        <b/>
        <sz val="10"/>
        <color theme="1"/>
        <rFont val="Arial"/>
        <family val="2"/>
        <charset val="204"/>
      </rPr>
      <t>Суд должен возвратить заявление</t>
    </r>
  </si>
  <si>
    <t>денежное требование на осн.судебного акта - вступил в силу до 05.05.17 (возбуждение дела о банкротстве) - поэтому все в реестр. См. разбивку в таблице.
История с раторжением ДДУ: Кредитор не направил заказным письмом уведомление об отказе от ДДУ, а вручил Зайтройщику - Росреестр посчитал это ненадлежащим уведомлением и отказал в регистрации расторжения (все это не важно для включения, т.к. есть судебный акт, в соотв. с которым ДДУ считается расторгнутым)</t>
  </si>
  <si>
    <t>1) требование о передаче ЖП, по данным Должника взнос оплачен
2) Кредитор не приложил документы, подтверждающие оплату - по данным Должника Кредитор сам должен отложиться для этого</t>
  </si>
  <si>
    <t>1) требование о передаче ЖП, по данным Должника взнос оплачен
2) Кредитор в адрес ВУ отправил только текст заявления. В соответствии с приложениями ДДУ оплачен: частично векселями, частично деньгами, частично зачетом</t>
  </si>
  <si>
    <t>квартира № 5,3, примерная общая площадь 38,4 кв.м., расположенная на 1 этаже жилого дома № 5 блокированной постройки по строительному адресу: ЛО, Всеволожский р-н, уч. Мистолово, ЗЖК «Близкое», 1-я очередь строительства, кадастровый номер 47:07:0713002:272</t>
  </si>
  <si>
    <t>о передаче в общую долевую собственность по ½ доли за каждым объекта со следующими характеристиками: квартира № 4.9, примерная общая площадь 55,46 кв.м., расположенная на 1 этаже жилого дома № 4 блокированной постройки по строительному адресу: ЛО, Всеволожский р-н, уч. Мистолово, ЗЖК «Близкое», 1-я очередь строительства, кадастровый номер 47:07:0713002:272.</t>
  </si>
  <si>
    <t>квартира № 2.14, примерная общая площадь 39,88 кв.м., расположенная на 1 этаже жилого дома № 2 блокированной постройки по строительному адресу: ЛО, Всеволожский р-н, уч. Мистолово,
ЗЖК «Близкое», 1-я очередь строительства, кадастровый номер 47:07:0713002:272.</t>
  </si>
  <si>
    <t>1) частичная оплата - есть разночтения по данным Должника. Представитель Должника должен будет пояснить (Должник учитывает курсовые разницы, а Кредитор нет)
2) в просительной части не та квартира - см. ДС и отзыв
3) пересчет неустойки  - см. отзыв</t>
  </si>
  <si>
    <t>1) БСПб дал кредит Близкому, за Близкое поручился ООО Петростиль
2) в отношении ООО Петростиль было возбуждено дело о банкротстве, Банк включился в реестр к ООО Петростиль как к Поручителю
3) Банк уступил права требования по Кредиту - ООО Гарант, ООО Гарант - заправопреемился в реестр Петростиль
4) На эту же сумм Гарант идет в реестр ООО Близкое как основному Должнику по обязательству
не возражаем</t>
  </si>
  <si>
    <t>1) БСПб дал кредит Близкому, Кредитор поручился за Близкое.
2) Банк уступил права требования по кредиту на ООО Сфера
3) Кредитор (поручитель) + 2 ФЛ передал доли в праве на ЗУ, Дом и Гараж в качестве отступного на общую сумму 33 650 000 руб.
4) Кредитор имел 1/8 в указанных объектах, соответственно его часть погашения - 4 206 250 руб.
не возражаем</t>
  </si>
  <si>
    <t>1) БСПб дал кредит Близкому
2) Банк уступил права требования по кредиту на ООО Сфера
3) Кредитор (исполнение 3м лицом по согласованию с Близким) + 2 ФЛ передали доли в праве на ЗУ, Дом и Гараж в качестве отступного на общую сумму 33 650 000 руб.
4) Кредитор имел 1/8 в указанных объектах, соответственно его часть погашения - 4 206 250 руб.
не возражаем</t>
  </si>
  <si>
    <t>1) БСПб дал кредит Близкому, Кредитор поручился за Близкое.
2) Банк уступил права требования по кредиту на ООО Сфера
3) Кредитор (поручитель) + 2 ФЛ передали доли в праве на ЗУ, Дом и Гараж в качестве отступного на общую сумму 33 650 000 руб.
4) Кредитор имел 3/4 в указанных объектах, соответственно его часть погашения - 25 237 500 руб.
не возражаем</t>
  </si>
  <si>
    <t xml:space="preserve">1) Близкое - Агент. Кворум - Принципал. Агент ищет покупателей, заключает с ними ДКП, получает деньги по ДКП, перечисляет деньги Принципалу за вычетом своего вознаграждения. 
2) Агент нашел Покупателя - заключил с ним ДКП (было заключено ДС об увеличении цены по ДКП - Кредитор его не представил)
3) Покупатель заплатил Близкому (Агенту) - 19 681 423,57 руб.
4) п. 4.1. - вознаграждение Агента определяется отдельным ДС - Кредитор такое ДС в материалы дела не представил.
5) Вознаграждение Агента, как считает Кредитор, согласовано в Акте об исполнения поручения (розовый стикер) - приписка от руки 
6) расчет кредитора: Сумма ДКП (19,6 млн.) минус согласованное вознаграждение (5,6 млн.) = требование (14 млн.)
Предлагаем Кредитору представить в дело ДС о согласовании размера вознаграждения. В целом не возаражем. Все требование - 4 очередь (в просит части пишет, что 3я) </t>
  </si>
  <si>
    <t>1) ДДУ оплачен - стоимость ЖП за вычетом ЗУ (сумма ЗУ по данным Должника - Кредитор не должен возражать, но если будет, предложи судье обязать Кредитора сообщить суду стоимость ЖП без учета ЗУ) 
2) вся сумма ДДУ оплачена зачетом встречный требований (2015 год)
3) дольщик через уступку</t>
  </si>
  <si>
    <t>требование о передаче, взнос оплачен в полном размере - не возражаем (за вычетом ЗУ)</t>
  </si>
  <si>
    <t xml:space="preserve">
ПОЧЕМУ ОТЛОЖИЛИ
Сулейманова Александра Ваисовича и Сулеймановой Аллы Николаевны</t>
  </si>
  <si>
    <t>отказ</t>
  </si>
  <si>
    <t>прекратили производство</t>
  </si>
  <si>
    <t>Аксеновой Марии Валерьевны</t>
  </si>
  <si>
    <t>тр.37</t>
  </si>
  <si>
    <t>квартира № 18.4, примерная общая площадь 86,58 кв.м., в 2-х этажном жилом доме № 18, расположенном по строительному адресу: Ленинградская область, Всеволожский район, уч. Мистолово, загородный жилой комплекс «Близкое», 1-я очередь строительства, кадастровый номер 47:07:0713002:1105. а также земельного участка площадью 76,6 кв.м., расположенного по строительному адресу: Ленинградская область, Всеволожский район, уч. Мистолово, загородный жилой комплекс «Близкое», кадастровый номер 47:07:0713002:1105</t>
  </si>
  <si>
    <t>Алексеева Вячеслава Геннадьевича</t>
  </si>
  <si>
    <t>тр. 172</t>
  </si>
  <si>
    <t>о передаче в общую совместную собственность объекта со следующими характеристиками: квартира №6.24 примерной общей площадью 58,22
кв.м, 3-х этажного жилого дома№6,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47:07:0713002:272, общей стоимостью 7 477 118, 14 руб</t>
  </si>
  <si>
    <t>Антонова Вячеслава Борисовича и Антоновой Ирины Васильевны</t>
  </si>
  <si>
    <t>тр. 144</t>
  </si>
  <si>
    <t>квартира № 24.2, примерная общая площадь 105,5 кв.м., расположенная на 2 этаже трехэтажного многоквартирного жилого дома № 24, расположенного по строительному адресу: Ленинградская область, Всеволожский район, уч. Мистолово, загородный жилой комплекс «Близкое», 1-я очередь строительства, кадастровый номер 47:07:0713002:1448.</t>
  </si>
  <si>
    <t>Аронина Дмитрия Борисовича и Ивановой Юлии Валерьевны</t>
  </si>
  <si>
    <t>тр. 137</t>
  </si>
  <si>
    <t>квартира № 15.5 общей площадью 93,64 кв.м, 2-х этажного жилого дома блокированной застройки №15 расположенному по строительному адресу: Ленинградская область, Всеволожский район, уч. Мистолово, загородный жилой комплекс «Близкое», общей стоимостью 6 138 343,00 руб.</t>
  </si>
  <si>
    <t>Афанасьева Юрия Павловича</t>
  </si>
  <si>
    <t>тр. 163</t>
  </si>
  <si>
    <t>жилое помещение-квартира № 3.17, расположенная в 3-х этажном жилом доме № 3 примерной общей площадью 34,99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47:07:0713002:272, общей стоимостью 2 694 986,50 руб.</t>
  </si>
  <si>
    <t>тр. 139</t>
  </si>
  <si>
    <t>блок- секция № 18.7, этажность 1-2, примерной общей площадью 106,9 кв.м., расположенная в 2-х этажном жилом доме блокированной застройки № 18, общей площадью 48914 кв. м.; земельный участок примерной площадью 65,15 кв. м , расположенного по строительному адресу: Ленинградская область, Всеволожский район, уч. Мистолово, загородный жилой комплекс «Близкое», с кадастровым номером № 47:07:0713002:1105.</t>
  </si>
  <si>
    <t>Беляевой Елены Николаевны</t>
  </si>
  <si>
    <t>тр. 143</t>
  </si>
  <si>
    <t>квартира № 22.1, примерная общая площадь 57,07 кв.м., расположенная на 2 этаже трехэтажного многоквартирного жилого дома № 22,
расположенного по строительному адресу: Ленинградская область, Всеволожский район, уч. Мистолово, загородный жилой комплекс «Близкое», , кадастровый номер 47:07:0713002:1448</t>
  </si>
  <si>
    <t>Берг Татьяны Александровны</t>
  </si>
  <si>
    <t>тр. 148</t>
  </si>
  <si>
    <t>дом № 1.13 расположенному по строительному адресу: Ленинградская область, Всеволожский район, уч. Мистолово, загородный жилой комплекс «Близкое», и земельный участок общей площадью 611.0 кв.м. общейстоимостью 9 598 913, 70 руб.</t>
  </si>
  <si>
    <t>Власовой Елены Геннадьевны</t>
  </si>
  <si>
    <t>тр. 152</t>
  </si>
  <si>
    <t>в общую совместную собственность объекта со следующими характеристиками: квартира № 2.1, общей площадью 106,4 кв.м, расположенной в
жилом доме блокированной застройки№2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47:07:0713002:1105, общей стоимостью 8 476 507, 40 руб.</t>
  </si>
  <si>
    <t>Дурмановой Людмилы Юрьевны</t>
  </si>
  <si>
    <t>тр. 177</t>
  </si>
  <si>
    <t>квартира №12.7, примерной общей площадью 86,58 кв.м, 2-х этажного жилого дома блокированной застройки №12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47:07:0713002:1105,общей стоимостью 5 405 00,00 руб.</t>
  </si>
  <si>
    <t>Имшенецкого Дениса Сергеевича</t>
  </si>
  <si>
    <t>тр. 180</t>
  </si>
  <si>
    <t>квартира №25.3, примерной общей площадью 57,07 кв.м, 2-х этажного жилого дома блокированной застройки №25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47:07:0713002:1448,общей стоимостью 755 113, 00 руб.</t>
  </si>
  <si>
    <t>тр. 145</t>
  </si>
  <si>
    <t>Корниенко Людмилы Борисовны</t>
  </si>
  <si>
    <t>квартира № 3.1, примерная общая площадь 86,55 кв.м., расположенная на 2 этаже трехэтажного многоквартирного жилого дома № 3, расположенного по строительному адресу: Ленинградская область, Всеволожский район, уч. Мистолово, загородный жилой комплекс «Близкое», 1-я очередь строительства, кадастровый номер 47:07:0713002:1105.</t>
  </si>
  <si>
    <t>тр.176</t>
  </si>
  <si>
    <t>Косолапкина Геннадия Олеговича</t>
  </si>
  <si>
    <t>квартира №21.5 примерной общей площадью 57,07 кв.м, 2-х этажного жилого дома блокированной застройки №24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47:07:0713002:1448, общей стоимостью 4 304 849,00 руб.</t>
  </si>
  <si>
    <t>тр. 147</t>
  </si>
  <si>
    <t>Кравецс Юлия Давыдовна</t>
  </si>
  <si>
    <t>квартира, примерная общая площадь 86,55 кв.м., с крыльцом площадью 2,38 кв.м. террасой площадью 5,1 кв. м.балконом площадью 0,87 кв.м.
расположенного по строительному адресу: Ленинградская область, Всеволожский район, уч. Мистолово, загородный жилой комплекс «Близкое».</t>
  </si>
  <si>
    <t>тр. 149</t>
  </si>
  <si>
    <t>Кузнецова Владимира Анатольевича</t>
  </si>
  <si>
    <t>квартира № 1.1, в многоквартирном жилом доме № 1 примерной общей площадью 55,14 кв.м. ,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47:07:0713002:272, общей стоимостью 3 734 233,20 руб.</t>
  </si>
  <si>
    <t>тр. 150</t>
  </si>
  <si>
    <t>Куприенко Владимира Николаевича и Куприенко Ксении Николаевны</t>
  </si>
  <si>
    <t>блок-секция № 2.2, расположенная в 2-х этажном жилом доме блокированной застройки №2, общей площадью 86,55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47:07:0713002:1105, общей стоимостью 6 015 000, 00 руб.</t>
  </si>
  <si>
    <t>тр. 159</t>
  </si>
  <si>
    <t>Кухтина Евгения Александровича</t>
  </si>
  <si>
    <t xml:space="preserve">блок-секция, этажность 1-2 примерной общей площадью 86,55 кв.м, в доме № 11.3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47:07:0713002:1105, общей стоимостью
5 821 200,00 руб. </t>
  </si>
  <si>
    <t>Литвинова Григория Владимировича</t>
  </si>
  <si>
    <t>тр.166</t>
  </si>
  <si>
    <t>жилой дом №2.1, примерной общей площадью 104,62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47:07:0713002:1107, общей стоимостью 9 198 660,85 руб.</t>
  </si>
  <si>
    <t>тр.174</t>
  </si>
  <si>
    <t>Манихас Алексея Георгиевича, Манихас Натальи Николаевны, Манихас Елизаветы Алексеевны</t>
  </si>
  <si>
    <t>блок-секция, примерной общей площадью 194,46 кв.м, 2-х этажного жилого дома блокированной застройки №1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47:07:0713002:1105, общей стоимостью 17 094 138,15 руб.</t>
  </si>
  <si>
    <t>тр. 162</t>
  </si>
  <si>
    <t>Мясникова Максимилиана Рубэновича</t>
  </si>
  <si>
    <t>жилое помещение-квартира №22.10, расположенная в 2-х этажном жилом доме № 22 общей площадью 105,5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47:07:0713002:1448, общей стоимостью 5 899 200, 00 руб.</t>
  </si>
  <si>
    <t>тр. 158</t>
  </si>
  <si>
    <t>Неруш Александра Валерьевича</t>
  </si>
  <si>
    <t>квартира № 2.3 примерной общей площадью 86,55 кв.м, 2-х этажного жилого дома № 2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47:07:0713002:1105 общей стоимостью
9 285 202,60 руб.</t>
  </si>
  <si>
    <t>тр. 133</t>
  </si>
  <si>
    <t>Николаевой Ольги Андреевны</t>
  </si>
  <si>
    <t>квартира (блок-секция) №6.4 общей площадью 86,58 кв.м, 2-х этажного жилого дома блокированной застройки №24 расположенному по строительному адресу: Ленинградская область, Всеволожский район, уч. Мистолово, загородный жилой комплекс «Близкое», общей стоимостью 5 725 197,00 руб.</t>
  </si>
  <si>
    <t>тр. 179</t>
  </si>
  <si>
    <t>2-х этажный дом, примерной общей площадью 100, 9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47:07:0713002:1447 общей стоимостью 8 077 975,30 руб.</t>
  </si>
  <si>
    <t>Нунга Татьяны Александровны</t>
  </si>
  <si>
    <t>тр.164</t>
  </si>
  <si>
    <t>Обуховой Ирины Юрьевны</t>
  </si>
  <si>
    <t>жилое помещение-квартира №21.7, расположенная на отдельном земельном участке, примерной общей площадью 57,07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47:07:0713002:1448, общей стоимостью 4 111 551,00 руб.</t>
  </si>
  <si>
    <t>тр.155</t>
  </si>
  <si>
    <t>ООО «Авангард»</t>
  </si>
  <si>
    <t>2- х этажный жилой дом № 4.6, примерной общей площадью 103,65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47:07:0713002:1107, общей стоимостью 9 487 018, 10 руб.</t>
  </si>
  <si>
    <t>ООО «Мистолово-Деволопмент»</t>
  </si>
  <si>
    <t>тр. 167</t>
  </si>
  <si>
    <t>квартира № 2.5, этажность 1-2 примерной общей площадью 83,23 кв.м, расположенная в блокированной застройке №2 расположенному по строительному адресу: Ленинградская область, Всеволожский район, уч. Мистолово, загородный жилой комплекс «Близкое» общей стоимостью 7 114 768, 00 руб.</t>
  </si>
  <si>
    <t>тр. 142</t>
  </si>
  <si>
    <t>Охрименко Натальи Сергеевны</t>
  </si>
  <si>
    <t>квартира № 8.7, примерная общая площадь 91.07 кв.м., расположенная в многоэтажном (2-х этажном) жилом доме № 8, расположенного по строительному адресу: Ленинградская область, Всеволожский район, уч. Мистолово, загородный жилой комплекс «Близкое», , кадастровый номер 47:07:0713002:1105</t>
  </si>
  <si>
    <t>тр. 175</t>
  </si>
  <si>
    <t>Петуховой Инны Ионовны</t>
  </si>
  <si>
    <t>жилой дом № 1.1 примерной общей площадью 132,06 кв.м, 2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47:07:0713002:1107, общей стоимостью 7 277 355,10 руб.</t>
  </si>
  <si>
    <t>тр. 182</t>
  </si>
  <si>
    <t>Платоновой Валентины Геннадьевны и Соколовского
Дениса Константиновича</t>
  </si>
  <si>
    <t>жилое помещение-квартира №2, расположенная в многоквартирном доме № 1 (на 1-ом этаже), общей площадью 63,5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47:07:0713002:272 общей стоимостью 4 300 395,37 руб.</t>
  </si>
  <si>
    <t>тр. 154</t>
  </si>
  <si>
    <t>Пневского Данила Алексеевича</t>
  </si>
  <si>
    <t xml:space="preserve">2-х этажный жилой дом блокированной застройки № 12, квартира № 12.6 общей площадью 86,58 кв.м, земельных участков , общей
площадью 64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47:07:0713002:1105, общей стоимостью 5 417 743,66 руб., </t>
  </si>
  <si>
    <t>а так же неустойки в размере 3 305 546, 00 руб. моральный ущерб в размере 405 000, 00 руб.</t>
  </si>
  <si>
    <t>тр.153</t>
  </si>
  <si>
    <t>Радченко Артема Николаевича</t>
  </si>
  <si>
    <t>жилое помещение-квартира №15.3, расположенная в 2- х этажном жилом доме блокированной застройки №15, примерной общей площадью86,58кв.м,а так же земельный участок площадью 126,6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47:07:0713002:1105,общей стоимостью 3 205 248,90 руб.</t>
  </si>
  <si>
    <t>тр. 157</t>
  </si>
  <si>
    <t>Ручина Максима Алексеевича и Ручиной Екатерины
Сергеевны</t>
  </si>
  <si>
    <t>блок-секции №12.8, этажность 1-2 примерной общей площадью 106,9 кв.м, 2-х этажного жилого дома блокированной застройки №12 расположенному по строительному адресу: Ленинградская область, Всеволожский район, уч. Мистолово, загородный жилой комплекс «Близкое», общей стоимостью 7 410 000,00 руб.</t>
  </si>
  <si>
    <t>тр.141</t>
  </si>
  <si>
    <t>Садовниковой Анастасии Михайловны</t>
  </si>
  <si>
    <t>квартира № 6.12, примерная общая площадь 37.57 кв.м., расположенная в многоэтажном (3-х этажном) жилом доме № 6, расположенного по строительному адресу: Ленинградская область, Всеволожский район, уч. Мистолово, загородный жилой комплекс «Близкое», , кадастровый номер 47:07:0713002:272.</t>
  </si>
  <si>
    <t>Усик Светланы Борисовны</t>
  </si>
  <si>
    <t>тр.171</t>
  </si>
  <si>
    <t>квартиры № 4.5, в 3-х этажном жилом доме № 4 (на 2-ом этаже) общей площадью 58,22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47:07:0713002:272, общей стоимостью 3 263 523 , 00 руб.</t>
  </si>
  <si>
    <t>тр. 136</t>
  </si>
  <si>
    <t>Федорова Дмитрия Юрьевича</t>
  </si>
  <si>
    <t>жилой дом № 4.2 общей площадью 103,65 кв.м, расположенному по строительному адресу: Ленинградская область, Всеволожский район, уч. Мистолово, загородный жилой комплекс «Близкое».</t>
  </si>
  <si>
    <t>тр. 168</t>
  </si>
  <si>
    <t>Фирсова Дмитрия Юрьевича</t>
  </si>
  <si>
    <t>жилое помещение-квартира №8.4, расположенная в 2-х этажном жилом доме №8, примерной общей площадью 48,914кв.м,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47:07:0713002:1105, общей стоимостью 4 811 077, 00 руб.</t>
  </si>
  <si>
    <t>тр. 146</t>
  </si>
  <si>
    <t>Чернякевич Геннадия Бориславовича</t>
  </si>
  <si>
    <t>квартира № 3, примерная общая площадь 91кв.м., расположенная на 2 этаже трехэтажного многоквартирного жилого дома № 7, расположенного по строительному адресу: Ленинградская область, Всеволожский район, уч. Мистолово, загородный жилой комплекс «Близкое», 1-я очередь строительства, кадастровый номер 47:07:0713002:1105.</t>
  </si>
  <si>
    <t>тр.138</t>
  </si>
  <si>
    <t>Ческидова Александра Михайловича и Рейцман Анны
Александровны</t>
  </si>
  <si>
    <t>квартира № 5 общей площадью 86,58 кв.м, расположенному по строительному адресу: Ленинградская область, Всеволожский район, уч. Мистолово, загородный жилой комплекс «Близкое», общей стоимостью 4 424 088,89 руб.</t>
  </si>
  <si>
    <t>тр. 181</t>
  </si>
  <si>
    <t>Шахова Юрия Александровича</t>
  </si>
  <si>
    <t>квартира № 3.8, примерной общей площадью 56,36 кв.м,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47:07:0713002:272, общей стоимостью 4 100 532, 00 руб.</t>
  </si>
  <si>
    <t>тр. 178</t>
  </si>
  <si>
    <t>Шкурко Марины Александровны</t>
  </si>
  <si>
    <t>квартира №14.8 примерной общей площадью 86,58 кв.м, 2-х этажного жилого дома №14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47:07:0713002:1105 общей стоимостью
7 139 809,51 руб.</t>
  </si>
  <si>
    <t>тр. 140</t>
  </si>
  <si>
    <t>Янсон Юрия Рудольфовича</t>
  </si>
  <si>
    <t>квартира № 2 (строительный 13.2), общей площадю 86.2 кв.м., этажность – 2; земельный участок примерной площадью 65,15 кв. м , расположенного по строительному адресу: Ленинградская область, Всеволожский район, уч. Мистолово, загородный жилой комплекс «Близкое».</t>
  </si>
  <si>
    <t>квартира № 3,9, 3 этаж, примерная общая площадь 37,63 кв.м., расположенная в жилом доме № 3 блокированной постройки по строительному адресу: Ленинградская область, Всеволожский район, уч. Мистолово, загородный жилой комплекс «Близкое», 1-я очередь строительства, кадастровый номер 47:07:0713002:272</t>
  </si>
  <si>
    <t>Песковой Анастасии Никитичны</t>
  </si>
  <si>
    <t>тр.53</t>
  </si>
  <si>
    <t>тр. 85</t>
  </si>
  <si>
    <t>Лобазевич Елены Николаевны</t>
  </si>
  <si>
    <t>отложение, но я не знала про с/з</t>
  </si>
  <si>
    <t>1) проблемы с формулировкой требования: есть ДДУ, который оплачен зачетами, но Кредитор просит включить денежное требование. Суд должен уточнить отказались ли они от ДДУ</t>
  </si>
  <si>
    <t>1) ДДУ оплачен, в т.ч. зачетом на 564 099,8 руб.
2) не возражаем, стоимость ЖП за вычетом ЗУ</t>
  </si>
  <si>
    <t>1) кредитор просит включить в РТК требование о передаче вместе с тем прикладывает решение ОЮ о признании права собственности
2) кредитор через уступку, оплачен полностью, документы, приложены, не возражаем
3) стоимость ЖП за вычетом ЗУ</t>
  </si>
  <si>
    <t xml:space="preserve">1) нет приложений
2) у суда должны быть приходные кассовые ордера
3) стоимость ЖП за вычетом ЗУ
</t>
  </si>
  <si>
    <t>1) к заявлению приложен только акт об исполнении финансовых обязательств
2) не возражаем, стоимость ЖП за вычетом ЗУ</t>
  </si>
  <si>
    <t>по отдельному ПДКП - 100 800,00 руб.</t>
  </si>
  <si>
    <t>1) ДДУ оплачен, приложены платежки
2) ЗУ по отдельному ПДКП (оплачен) - отзыв
3) по 1/2 на каждое ФЛ</t>
  </si>
  <si>
    <t>1) ДДУ оплачен, приложены платежки
2) стоимость ЖП за вычетом ЗУ (суммы из текста заявления) - старый отзыв с ошибкой - приобщить новый</t>
  </si>
  <si>
    <t>1)требование о передаче, взнос оплачен в полном размере - на 8,3 млн. - векселями - Кредитор должен принести документы по векселям</t>
  </si>
  <si>
    <t>1) ДДУ оплчен, платежка есть
2) не возражаем, стоимость ЖП за вычетом ЗУ</t>
  </si>
  <si>
    <t>1) ДДУ оплчен, платежки есть</t>
  </si>
  <si>
    <t>тр.?</t>
  </si>
  <si>
    <t>квартира № 3,20, 3 этаж, примерная общая площадь 37,63 кв.м., расположенная в жилом доме № 3 блокированной постройки по строительному адресу: Ленинградская область, Всеволожский район, уч. Мистолово, загородный жилой комплекс «Близкое», 1-я очередь строительства, кадастровый номер 47:07:0713002:272</t>
  </si>
  <si>
    <t>У КРЕДИОРА ЕСТЬ 2ое ТРЕБОВАНИЕ. Направлено в адрес ВУ одновременно с тр. 53, судом не назначено. Уточнить
Песковой Анастасии Никитичны</t>
  </si>
  <si>
    <t>1) ДДУ оплачен, не возражаем
2) ЖП за вычетом стоимости ЗУ. ДДУ в условных единицах, размер в рублях - см. 2 абз. Заявления Кредитора</t>
  </si>
  <si>
    <t>двухэтажный жилой дом № 2.9, примерная общая площадь 132,06 кв.м., расположенный по адресу: ЛО, Всеволожский р-н, уч. Мистолово, ЗЖК «Близкое», 1-я очередь строительства, кадастровый номер 47:07:0713002:1107, а также земельный участок общей площадью 605 к.м.,</t>
  </si>
  <si>
    <t>1) решение суда ОЮ признано право собственности на недострой
2) ДДУ оплачен, не возражаем
3) ДДУ в у.е., стоимость ЗУ определена в соотв. с решением суда - лист2 - см. отзыв. Кредтор при расчете стоимости ЖП учитвает платеж на 30 т.р., но это платеж по каком-то договору № 27 (скорее всего услуги Близкого по регистрации и т.п.)</t>
  </si>
  <si>
    <t xml:space="preserve">Белоцерковской Ирины Викторовны
</t>
  </si>
  <si>
    <t>Тарасов Георгий Александрович</t>
  </si>
  <si>
    <t>по отдельному ПДКП 1 180 000,00 руб</t>
  </si>
  <si>
    <t xml:space="preserve">1) Белоцерковская заключила ДДУ, не приложены документы по оплате - запросила по эл.почте
2) Белоцерковская + Тарасов - заключили с Близкое ПДКП ЗУ - заплатили частично в общем размере на 2 360 000 руб., по 1 180 000 руб. -каждый - ок - 4 очередь </t>
  </si>
  <si>
    <t>Белоцерковская + Тарасов - заключили с Близкое ПДКП ЗУ - заплатили частично в общем размере на 2 360 000 руб., по 1 180 000 руб. -каждый - ок - 4 очередь</t>
  </si>
  <si>
    <t>ДДУ оплачен, по 1/2 за каждым ФЛ - не возражаем</t>
  </si>
  <si>
    <t>Калугина Станислава Сергеевича</t>
  </si>
  <si>
    <t>тр. 51</t>
  </si>
  <si>
    <t>квартира № 5.4, примерная общая площадь 86,58 кв.м., кроме того: площадь крыльца ( без кооэфициента) 2.38 кв.м, площадь террасы (с коэффициентом 0,3) -3,63 кв.м площадь балконов (с коэффициентом 0,3) -3.63 кв.м, расположенная в жилом доме № 5 блокированной постройки по строительному адресу: Ленинградская область, Всеволожский район, уч. Мистолово, загородный жилой комплекс «Близкое», 1-я очередь строительства, кадастровый номер 47:07:0713002:1105, оплаченного кредиторами в размере 3 033 664 руб. 59 коп, в соответствии с договором участия в долевом строительстве №15-2012БТ от 12.12.2012</t>
  </si>
  <si>
    <t>Стоимость ЖП</t>
  </si>
  <si>
    <t>Долг</t>
  </si>
  <si>
    <t>тр. 118</t>
  </si>
  <si>
    <t xml:space="preserve">Макарова О.А. </t>
  </si>
  <si>
    <t xml:space="preserve">квартира № 16,7, примерная общая площадь 86,58 кв.м.,расположенная в двухэтажном жилом доме
блокированной застройки № 16, по строительному адресу: Ленинградская область,
Всеволожский район, уч. Мистолово, загородный жилой комплекс «Близкое», </t>
  </si>
  <si>
    <t xml:space="preserve">Костромцов А.А. </t>
  </si>
  <si>
    <t xml:space="preserve">квартира № № 14.9,
примерная общая площадь 86,24 кв.м., 
адресу: Ленинградская область, Всеволожский район, уч. Мистолово, загородный жилой
комплекс «Близкое», . </t>
  </si>
  <si>
    <t xml:space="preserve">квартира № № 2.3, примерная общая площадь 39,88 кв.м., : Ленинградская область,
Всеволожский район, уч. Мистолово, загородный жилой комплекс «Близкое», </t>
  </si>
  <si>
    <t>квартира № 22.7 примерной общей площадью 57.07 кв. м., Ленинградская область, Всеволожский
район, уч. Мистолово, загородный жилой комплекс «Близкое»</t>
  </si>
  <si>
    <t>В папке определение на Решетняк 9 705 829</t>
  </si>
  <si>
    <t>159300 - ЗУ - без рассм</t>
  </si>
  <si>
    <t>285000 - ЗУ</t>
  </si>
  <si>
    <t>190800,05 = ЗУ</t>
  </si>
  <si>
    <t>63000 - ЗУ</t>
  </si>
  <si>
    <t>квартира № 22.1, примерная общая площадь 57,07 кв.м., расположенная на 2 этаже трехэтажного многоквартирного жилого дома № 22, расположенного по строительному адресу: Ленинградская область, Всеволожский район, уч. Мистолово, загородный жилой комплекс «Близкое», , кадастровый номер 47:07:0713002:1448</t>
  </si>
  <si>
    <t>77999,95 - ЗУ</t>
  </si>
  <si>
    <t>Лукенина Анастасии Михайловны</t>
  </si>
  <si>
    <t>268800 - ЗУ</t>
  </si>
  <si>
    <t>84000 - ЗУ</t>
  </si>
  <si>
    <t>389100,15 - ЗУ</t>
  </si>
  <si>
    <t>в общую совместную собственность объекта со следующими характеристиками: квартира № 2.1, общей площадью 106,4 кв.м, расположенной в жилом доме блокированной застройки №2 расположенному по строительному адресу: Ленинградская область, Всеволожский район, уч. Мистолово, загородный жилой комплекс «Близкое», с кадастровым номером 7:07:0713002:1105, общей стоимостью 8 476 507, 40 руб.</t>
  </si>
  <si>
    <t>Усик Светланы Борисовны
Степанов Р.А.
Степанов М.А.</t>
  </si>
  <si>
    <t>610000 - ЗУ</t>
  </si>
  <si>
    <t>238500-ЗУ</t>
  </si>
  <si>
    <t>229800 - ЗУ</t>
  </si>
  <si>
    <t>ПРОВЕРИТЬ СУММЫ С СУД АКТОМ</t>
  </si>
  <si>
    <t>Сулейманова Александра Ваисовича и Сулеймановой Аллы Николаевны</t>
  </si>
  <si>
    <t>квартира № 19.9, расположенная в жилом доме блокированной застройки № 19, примерная общая площадь 56,9 кв.м., расположенный по строительному адресу: ЛО, Всеволожский р-н, уч. Мистолово, ЗЖК «Близкое», 2-я очередь строительства, кадастровый номер 47:07:0713002:1448, земельного участка  римерной площадью 21 кв.м.,</t>
  </si>
  <si>
    <t>Лабозевич Елены Николаевны</t>
  </si>
  <si>
    <t>блок-секция (квартира) №23.7, примерная общая площадь 56,9 кв.м., расположенная в жилом доме блокированной застройки № 23 по строительному адресу: Ленинградская область, Всеволожский район, уч. Мистолово, загородный жилой комплекс «Близкое», 2-я очередь строительства, кадастровый номер 47:07:0713002:1448</t>
  </si>
  <si>
    <t>Близнюк Ю.В. Близнюк Д.Д.</t>
  </si>
  <si>
    <t>тр.189</t>
  </si>
  <si>
    <t>ООО ЮАП Холдинг</t>
  </si>
  <si>
    <t>тр. 13</t>
  </si>
  <si>
    <t xml:space="preserve">судебный акт - отзыв
включили </t>
  </si>
  <si>
    <t> 3 418 891,07</t>
  </si>
  <si>
    <r>
      <rPr>
        <b/>
        <sz val="10"/>
        <color theme="1"/>
        <rFont val="Arial"/>
        <family val="2"/>
        <charset val="204"/>
      </rPr>
      <t>Общая стоимость ЖП - 3 903 538,68, оплачено 3 418 891,07. Включили на  3 418 891,07.</t>
    </r>
    <r>
      <rPr>
        <sz val="10"/>
        <color theme="1"/>
        <rFont val="Arial"/>
        <family val="2"/>
        <charset val="204"/>
      </rPr>
      <t xml:space="preserve">
1) частичная оплата - есть разночтения по данным Должника. Представитель Должника должен будет пояснить (Должник учитывает курсовые разницы, а Кредитор нет)
2) в просительной части не та квартира - см. ДС и отзыв
3) пересчет неустойки  - см. отзыв</t>
    </r>
  </si>
  <si>
    <t>5 670 967,00</t>
  </si>
  <si>
    <t>тр.10/15</t>
  </si>
  <si>
    <t>Дата внесения записи о требовании в реестр</t>
  </si>
  <si>
    <t>№ требования кредитора</t>
  </si>
  <si>
    <t>Фамилия, Имя, Отчество кредитора - физического лица, полное наименование кредитора - юридического лица</t>
  </si>
  <si>
    <t>Паспортные данные кредитора - физического лица
ОГРН кредитора - юридического лица</t>
  </si>
  <si>
    <t>Место жительства кредитора физического лица, местонахождение кредитора - юридического лица</t>
  </si>
  <si>
    <t>Адрес для почтовых уведомлений, электронный адрес</t>
  </si>
  <si>
    <t>Ф.И.О. руководителя кредитора - юридического лица</t>
  </si>
  <si>
    <t>Банковские реквизиты (при их наличии)</t>
  </si>
  <si>
    <t xml:space="preserve">Основания возникновения требования кредитора </t>
  </si>
  <si>
    <t xml:space="preserve">Сведения о жилом помещении (в том числе о его площади), являющемся предметом договора, предусматривающему передачу жилого помещения, а также сведения, идентифицирующие объект строительства в соответствии с таким договором </t>
  </si>
  <si>
    <t xml:space="preserve">Сумма, уплаченная кредитором застройщику по договору, предусматривающему передачу жилого помещения, и (или) стоимость переданного застройщику имущества в рублях </t>
  </si>
  <si>
    <t xml:space="preserve">Размер неисполненных обязательств участника строительства перед застройщиком по договору, предусматривающему передачу жилого помещения, в рублях (в т.ч. стоимость непереданного имущества, указанную в таком договоре) </t>
  </si>
  <si>
    <t xml:space="preserve">Реквизиты определения арбитражного суда о включении требования в реестр </t>
  </si>
  <si>
    <t>Вид обязательства, обязанности</t>
  </si>
  <si>
    <t>Реквизиты документа, являющегося основанием возникновения требования</t>
  </si>
  <si>
    <t>Дата возникновения требования</t>
  </si>
  <si>
    <t>Размер требования
в рублях, определенный арбитражным судом</t>
  </si>
  <si>
    <t>№ кредитора по реестру</t>
  </si>
  <si>
    <t>Р</t>
  </si>
  <si>
    <t xml:space="preserve">Вид обязательства, обязанности </t>
  </si>
  <si>
    <t xml:space="preserve">Размер требования
в рублях, определенный арбитражным судом </t>
  </si>
  <si>
    <t xml:space="preserve">Размер требования
в рублях, определенный арбитражным судом  </t>
  </si>
  <si>
    <t>Реквизиты определения арбитражного суда о включении требования в реестр</t>
  </si>
  <si>
    <t>2</t>
  </si>
  <si>
    <t>3</t>
  </si>
  <si>
    <t>4</t>
  </si>
  <si>
    <t>5</t>
  </si>
  <si>
    <t>6</t>
  </si>
  <si>
    <t>Контактная информация</t>
  </si>
  <si>
    <t>Алиева Эльмира Гаджибалаевна</t>
  </si>
  <si>
    <t>Паспорт гражданина РФ серия 11 06, № 487124, выдан: 03 03. 2007, отделом внутренних дел города Коряжмы Архангельской области (код подразделения. 292- 015)</t>
  </si>
  <si>
    <t>тел: 89218756988</t>
  </si>
  <si>
    <t>г. Санкт - Петербург, Лиговский пр., д.198, кв.7</t>
  </si>
  <si>
    <t>_</t>
  </si>
  <si>
    <t xml:space="preserve">ДДУ №56/2016/Д1-1Б </t>
  </si>
  <si>
    <t>2-е (евро-двух-я) кв-ра, площадь: 44,8 кв.м, площадь балкона/лоджии 0,6 кв.м, Д1, этаж 3, подъезд 3, усл. Номер (индекс) 54 ст. оси: 24-27/А-Г.</t>
  </si>
  <si>
    <t>Арутюнян Александра Сергеевна</t>
  </si>
  <si>
    <t>Арутюнян Анастасия Арсеновна</t>
  </si>
  <si>
    <t>Мочалина Мария Борисовна</t>
  </si>
  <si>
    <t>Мочалина Алексей Борисович</t>
  </si>
  <si>
    <t>ДДУ № 50/2016/Д1-1Б</t>
  </si>
  <si>
    <t>188670, Ленинградская область, Всеволожский район, пос. Романовка, ш. Дорога Жизни, д. 61</t>
  </si>
  <si>
    <t>ПЕРЕВОД СРЕДСТВ СОЦИАЛЬНОЙ ВЫПЛАТЫ ЗАСТРОЙЩИКУ В ЛИЦЕ ООО "СОЗВЕЗДИЕ" на 1778976 р.</t>
  </si>
  <si>
    <t>Свидетельство о рождении серия I-ВО №820110 выдано 18.02.2014 г. Управлением ЗАГС Администрации МО «Всеволожский муниципальный район» Ленинградской области</t>
  </si>
  <si>
    <t>Паспорт гражданина РФ 41 16 788856 выдан 07.10.2016 г. ТП №93 отдела УФМС России по Санкт-Петербургу и Ленинградской обл. в Всеволожском р-не, код подр. 470-009</t>
  </si>
  <si>
    <t>Паспорт гражданина РФ 41 07 973653 выдан 09.06.2007 г. ТП №93 отдела УФМС России по Санкт-Петербургу и Ленинградской обл. в Всеволожском р-не, код подр. 470-009</t>
  </si>
  <si>
    <t>Свидетельство о рождении серия II-ВО №561732 выдано 14.05.2019 г. Управлением записи актов гражданского состояния Администрации</t>
  </si>
  <si>
    <t>Богданов Сергей Станиславович</t>
  </si>
  <si>
    <t xml:space="preserve">Паспорт гражданина РФ серия 40 15 474704, выдан 17.02.2016г. ТП № 78 Отдела УФМС России по Санкт-Петербургу и Ленинградской области в Фрунзенском р-не г. Санкт-Петербурга, код подразделения 780-078 </t>
  </si>
  <si>
    <t>192281, г.Санкт-Петербург, ул. Будапештская, д. 98, корп. 1, кв. 2</t>
  </si>
  <si>
    <t>ДДУ № 03/2016/Д1-1Б</t>
  </si>
  <si>
    <t>Бут Кирилл Вениаминович</t>
  </si>
  <si>
    <t>190000, г.Санкт-Петербург, ул.Глинки, д.3-5-7, кв.77</t>
  </si>
  <si>
    <t>Паспорт гражданина РФ, серия: 40 07, №187798, выдан: 16.06.2007г., ТП №1 отдела УФМС России по Санкт-Петербургу и Ленинградской обл. в Адмиралтейском р-не гор.Санкт-Петербурга, код подр. 780-001</t>
  </si>
  <si>
    <t xml:space="preserve">ДДУ№58/2016/Д1-1Б </t>
  </si>
  <si>
    <t>квитанция по приходному кассовому ордеру № 2 от 30.01.2017</t>
  </si>
  <si>
    <t>3-е (евро-трех-я) кв-ра, площадь: 51,7 кв.м, площадь балкона/лоджии 1,1 кв.м, Д1, этаж 4, подъезд 3, усл. Номер (индекс) 61 ст. оси: 22-25/Г-Ж.</t>
  </si>
  <si>
    <t>89313149046 but_kirill@mail.ru</t>
  </si>
  <si>
    <t xml:space="preserve">ДДУ№62/2017/Д1-1Б </t>
  </si>
  <si>
    <t>198323, г.Санкт-Петербург, Красносельский р-он, Красносельское шоссе Горелово, д.40, кв.20</t>
  </si>
  <si>
    <t>Бабушкин Владимир Геннадьевич</t>
  </si>
  <si>
    <t>Бабушкина Елена Ивановна</t>
  </si>
  <si>
    <t>Бабушкин Сергей Владимирович</t>
  </si>
  <si>
    <t>Бабушкин Алексей Владимирович</t>
  </si>
  <si>
    <t>Паспорт гражданина РФ, серия: 40 09 №970099, выдан: 26.02.2010г., ТП №38 отдела УФМС России по Санкт-Петербургу и Ленинградской обл. в Красносельском р-не гор.Санкт-Петербурга, код подр. 780-038</t>
  </si>
  <si>
    <t>/ Паспорт гражданина РФ, серия: 40 11 №356603, выдан: 14.10.2011г., ТП №38 отдела УФМС России по Санкт-Петербургу и Ленинградской обл. в Красносельском р-не гор.Санкт-Петербурга, код подр. 780-038</t>
  </si>
  <si>
    <t>Паспорт гражданина РФ, серия: 40 09 №970098, выдан: 26.02.2010г., ТП №38 отдела УФМС России по Санкт-Петербургу и Ленинградской обл. в Красносельском р-не гор.Санкт-Петербурга, код подр. 780-038</t>
  </si>
  <si>
    <t>Паспорт гражданина РФ, серия: 40 15 №440781, выдан: 12.02.2016г., ТП №38 отдела УФМС России по Санкт-Петербургу и Ленинградской обл. в Красносельском р-не г.Санкт-Петербурга, код подр. 780-038</t>
  </si>
  <si>
    <t>Полная оплата по договору</t>
  </si>
  <si>
    <t>Близнецова (Сарана) Надежда Васильевна</t>
  </si>
  <si>
    <t>194044, г. Санкт-Петербург, ул. Смолячкова, д. 15-17, кв. 51</t>
  </si>
  <si>
    <t xml:space="preserve">ДДУ№12/2016/Д1-1Б </t>
  </si>
  <si>
    <t xml:space="preserve">
3 278 880,00
</t>
  </si>
  <si>
    <t>Богородцева Марина Владимировна</t>
  </si>
  <si>
    <t>Богородцева Ксения Андреевна</t>
  </si>
  <si>
    <t>Паспорт гражданина РФ, серия: 41 08, № 011992, выдан: 31.01.2008 г., ТП №93 отдела УФМС России по Санкт-Петербургу и Ленинградской обл. во Всеволожском р-не, код подр. 470-009</t>
  </si>
  <si>
    <t>Паспорт гражданина РФ, серия: 45 15, № 740983, выдан: 26.03.2016 г., ТП №93 отдела УФМС России по Санкт-Петербургу и Ленинградской обл. во Всеволожском р-не, код подр. 470-009</t>
  </si>
  <si>
    <t>188671, Ленинградская обл., Всеволожский р-н, пгт Рахья, Сосновая ул., дом 9</t>
  </si>
  <si>
    <t xml:space="preserve">ДДУ№26/2016/Д1-1Б </t>
  </si>
  <si>
    <t>2-е (евро-двух-я) кв-ра, площадь: 36,20 кв.м,  Д1, этаж 4, подъезд 1, усл. Номер (индекс) 25 ст. оси: 6-8/А-В.</t>
  </si>
  <si>
    <t>Свидетельство о предоставлении социальной выплаты на строительство жилья, оплату смотреть в банке</t>
  </si>
  <si>
    <t>20.012020</t>
  </si>
  <si>
    <t>Великанова (Королева) Виталина Николаевна</t>
  </si>
  <si>
    <t>Паспорт гражданина РФ 40 18 204530 выдан 05.12.2018 г. ГУ МВД России по Санкт-Петербургу и Ленинградской области, код подр. 780-012</t>
  </si>
  <si>
    <t>г. Санкт-Петербург, пр. Светлановский, д. 70, к. 2, кв. 84</t>
  </si>
  <si>
    <t>ДДУ№ 43/2016/Д1-1Б</t>
  </si>
  <si>
    <t>2-е (евро-двух-я) кв-ра, площадь: 36,20 кв.м,  Д1, этаж 2, подъезд 1, усл. Номер (индекс) 7 ст. оси: 6-8/А-В.</t>
  </si>
  <si>
    <t>Веретенников Максим Николаевич</t>
  </si>
  <si>
    <t xml:space="preserve">ДДУ №51/2016/Д1-1Б </t>
  </si>
  <si>
    <t>Паспорт гражданина РФ 4 14 659575 выдан 12.02.2015 г. ТП №93 Отдела УФМС России по Санкт-Петербургу и Ленинградской обл. в Всеволожском р-не, код подр. 470-009</t>
  </si>
  <si>
    <t>188670, Ленинградская обл., Всеволожский район, п. Романовка, д. 3, кв. 52</t>
  </si>
  <si>
    <t>2-е (евро-двух-я) кв-ра, площадь: 36,20 кв.м, пл. балкона/лоджии 0,6 кв.м.,  Д1, этаж 2, подъезд 3, усл. Номер (индекс) 48 ст. оси: 20-22/А-В.</t>
  </si>
  <si>
    <t xml:space="preserve">
2 094 300,00
</t>
  </si>
  <si>
    <t>Войтов Станислав Викторович</t>
  </si>
  <si>
    <t xml:space="preserve">ДДУ№53/2016/Д1-1Б </t>
  </si>
  <si>
    <t>Паспорт гражданина РФ 40 19 372830 выдан 25.07.2019 г. ГУ МВД России по г. Санкт-Петербургу и Ленинградской области, код подр. 780-029</t>
  </si>
  <si>
    <t>192174, г. Санкт-Петербург, ул. Шелгунова, д. 7, корпус 2, кв. 134</t>
  </si>
  <si>
    <t>3-е (евро-трех-я) кв-ра, площадь: 51,7 кв.м, площадь балкона/лоджии 1,1 кв.м, Д1, этаж 3, подъезд 1, усл. Номер (индекс) 21 ст. оси: 3-6/Г-Ж.</t>
  </si>
  <si>
    <t xml:space="preserve">
2 564 100,00
</t>
  </si>
  <si>
    <t>Свидетельство о смерти приложено. Свительство о законном наследстве приложено. Дополнительное соглашение приложено к Договору на имя Войнов Станислав Викторович. Оплату смотреть в банке. Оплачена полная сумма</t>
  </si>
  <si>
    <t>Оплата на полную сумму договора</t>
  </si>
  <si>
    <t>Дело №2-4016/2019 от 13.06.2019 штраф, неустойка</t>
  </si>
  <si>
    <t>компенсация морального вреда, госпошлина</t>
  </si>
  <si>
    <t>Решением Калининского районного суда СПБ от13.06.2019 Взыскать с ООО Созвездие в пользу Великановой Виталины Николаевны неустойку за нарушение срока передачи объекта долегового строительства до догвоору 43/2016/д1-1б от 27.09.2016 года за период с 01.04.2018 года по 01.04.2019 года в размере 394044,75 р., компенсацию морального вреда в размере 10000 р., штраф в размере 202002,37 р., а всего взыскать 606067,12 р.</t>
  </si>
  <si>
    <t>Высланко Антонина Константиновна</t>
  </si>
  <si>
    <t>Высланко Иван Александрович</t>
  </si>
  <si>
    <t>Паспорт гражданина РФ, серия: 47 03 №671002, выдан: 25.03.2003г., Отделом внутренних дел гор.Апатиты Мурманской области, код подр. 512-005</t>
  </si>
  <si>
    <t>Паспорт гражданина РФ, серия: 47 06 №068296, выдан: 27.12.2006г., Отделом внутренних дел города Снежногорска Мурманской области, код подр. 512-021</t>
  </si>
  <si>
    <t xml:space="preserve">ДДУ№35/2016/Д1-1Б </t>
  </si>
  <si>
    <t>194362, г.Санкт-Петербург, Приозерское шоссе, п.Парголово д.18, к.8, кв.49</t>
  </si>
  <si>
    <t>Емелин Сергей Николаевич</t>
  </si>
  <si>
    <t>Паспорт гражданина РФ 41 17 949131 выдан 28.12.2017 г. ТП №24 отдела УФМС России по Санкт-Петербургу и Ленинградской обл. в Кировском р-не г. Санкт-Петербурга, код подр. 780-024</t>
  </si>
  <si>
    <t>198096, г. Санкт-Петербург, ул. Маринеско, д. 7а, кв. 20</t>
  </si>
  <si>
    <t>ДДУ№ 61/2017/Д1-1Б</t>
  </si>
  <si>
    <t>2-е (евро-двух-я) кв-ра, площадь: 35,6 кв.м, пл. балкона/лоджии 0,6 кв.м.,  Д1, этаж 3, подъезд 3, усл. Номер (индекс) 58 ст. оси: 18-20/А-В.</t>
  </si>
  <si>
    <t>Жмаев Павел Михайлович</t>
  </si>
  <si>
    <t>Паспорт гражданина РФ 40 12 579572 выдан 30.07.2012 г. ТП №34 Отдела УФМС России по Санкт-Петербургу и Ленинградской обл. в Красногвардейском р-не гор. Санкт-Петербурга, код подр. 780-034</t>
  </si>
  <si>
    <t>192076, г. Санкт-Петербург, Советский пр., д. 34, корпус 2, кв. 1411</t>
  </si>
  <si>
    <t xml:space="preserve">ДДУ№76/2017/Д1-1Б </t>
  </si>
  <si>
    <t>Кантелюк (Кочетова) Екатерина Вячеславовна</t>
  </si>
  <si>
    <t>Гавриленко Даниил Игоревич</t>
  </si>
  <si>
    <t>Гавриленко Дмитрий Игоревич</t>
  </si>
  <si>
    <t>Кочетова София Михайловны (Ивановны)</t>
  </si>
  <si>
    <t>1877032, Ленинградская обл., Тосненский р-он, п.Тельмана, ул.Квартальная, д.2, кв.164</t>
  </si>
  <si>
    <t>1877032, Ленинградская обл., Тосненский р-он, п.Тельмана, ул.Квартальная, д.2, кв.165</t>
  </si>
  <si>
    <t>1877032, Ленинградская обл., Тосненский р-он, п.Тельмана, ул.Квартальная, д.2, кв.166</t>
  </si>
  <si>
    <t>1877032, Ленинградская обл., Тосненский р-он, п.Тельмана, ул.Квартальная, д.2, кв.167</t>
  </si>
  <si>
    <t>Паспорт гражданина РФ, серия: 40 18, №171027, выдан: 13 11. 2018 г., ГУ МВД России по С-П и Лен.обл, код подр. 780-021</t>
  </si>
  <si>
    <t>Паспорт гражданина РФ, серия: 40 15, №4764399, выдан: 21 04. 2016 г., ТП №35 отдела УФМС России по С-П. и Лен.обл. Колпинского р-на С-П, код подр. 780-032</t>
  </si>
  <si>
    <t>Паспорт гражданина РФ, серия: 40 17, №976482, выдан: 15 03. 2018 г., ГУ МВД России по С-П и Лен.обл, код подр. 780-021</t>
  </si>
  <si>
    <t xml:space="preserve">Свидетельство о рождении IV-АК№554483, выдано 07.06.2016, Отдел ЗАГС Колпинского р-на Комитета по делам ЗАГС  правит.С-П, </t>
  </si>
  <si>
    <t xml:space="preserve">ДДУ№47/2016/Д1-1Б </t>
  </si>
  <si>
    <t>7</t>
  </si>
  <si>
    <t>8</t>
  </si>
  <si>
    <t>9</t>
  </si>
  <si>
    <t>10</t>
  </si>
  <si>
    <t>11</t>
  </si>
  <si>
    <t>12</t>
  </si>
  <si>
    <t>13</t>
  </si>
  <si>
    <t>14</t>
  </si>
  <si>
    <t>15</t>
  </si>
  <si>
    <t>16</t>
  </si>
  <si>
    <t>19</t>
  </si>
  <si>
    <t>Гаджиева Ольга Валентиновна</t>
  </si>
  <si>
    <t>Паспорт гражданина РФ, серия: 40 17, № 753834, выдан: 19 04. 2017 г., ТП №19 отдела УФМС России по С-П и Ленинградской обл., в Калининском р-не г.С-П, код подр. 780-019</t>
  </si>
  <si>
    <t>195297, г.Санкт-Петербург, ул.Брянцева, дом 17, кв.31</t>
  </si>
  <si>
    <t xml:space="preserve">ДДУ№32/2016/Д1-1Б </t>
  </si>
  <si>
    <t>2-е (евро-двух-я) кв-ра, площадь: 44,8 кв.м, пл. балкона/лоджии 0,6 кв.м.,  Д1, этаж 2, подъезд 3, усл. Номер (индекс) 45 ст. оси: 25-27/А-В.</t>
  </si>
  <si>
    <t>Полная оплата по договору, СМОТЕРТЬ ПО БАНКУ</t>
  </si>
  <si>
    <t>Галайчук (Зернова) Ирина Викторовна</t>
  </si>
  <si>
    <t>Паспорт гражданина РФ серии 40 19 №458413, выдан 03.10.2019ГУ МВД России по Санкт-Петербургу и Лен.обл., код подразделения 780-046</t>
  </si>
  <si>
    <t>187110Ленинградская обл., г.Кириши, пр.Ленина, д.21, кв.20</t>
  </si>
  <si>
    <t>ДДУ№ 59/2016/Д1-1Б</t>
  </si>
  <si>
    <t>2-е (евро-двух-я) кв-ра, площадь: 35,8 кв.м, пл. балкона/лоджии 0,6 кв.м.,  Д1, этаж 3, подъезд 3, усл. Номер (индекс) 56 ст. оси: 22-23/А-В.</t>
  </si>
  <si>
    <t>ДОГОВОР ПОЖЕРТВОВАНИЯ №155 ОТ 29.12.2016</t>
  </si>
  <si>
    <t>Иванцова Азалия Раятовна</t>
  </si>
  <si>
    <t xml:space="preserve">ДДУ№77/2017/Д1-1Б </t>
  </si>
  <si>
    <t>Паспорт гражданина РФ, серия: 40 18 № 166285, выдан: 26.09. 2018г., ГУ МВД России по г.Санкт-Петербургу и Лен.обл., код подр. 780-030</t>
  </si>
  <si>
    <t>Г.Санкт-Петербург, ул.Кубинская, д.38, кв.17</t>
  </si>
  <si>
    <t>Иванова Наталья Юрьевна</t>
  </si>
  <si>
    <t xml:space="preserve">ДДУ№49/2016/Д1-1Б </t>
  </si>
  <si>
    <t>Паспорт гражданина РФ, серия: 40 13, № 828218, выдан: 18.09.2013 г., ТП №75 отдела УФМС России по Санкт-Петербургу и Ленинградской обл. во Фрунзенском р-не г. Санкт-Петербурга, код подр. 780-075</t>
  </si>
  <si>
    <t>192238, г. Санкт-Петербург, Бухарестская ул., дом 94, корп. 2, кв. 5</t>
  </si>
  <si>
    <t>2-е (евро-двух-я) кв-ра, площадь: 35,8 кв.м, пл. балкона/лоджии 0,6 кв.м.,  Д1, этаж 2, подъезд 3, усл. Номер (индекс) 47 ст. оси: 22-23/А-В.</t>
  </si>
  <si>
    <t>Ильина Ольга Яновна</t>
  </si>
  <si>
    <t>Паспорт гражданина РФ серии 40 04 №943907, выдан 07.04.2004 1 отделом милиции Адмиралтейского р-на Санкт-Петербурга, код подразделения 782-001</t>
  </si>
  <si>
    <t>190121, г.Санкт-Петербург, наб.реки Фонтанки, д.165, кв.15</t>
  </si>
  <si>
    <t>ДДУ№ 52/2016/Д1-1Б</t>
  </si>
  <si>
    <t>2-е (евро-двух-я) кв-ра, площадь: 35,8 кв.м, пл. балкона/лоджии 0,6 кв.м.,  Д1, этаж 4, подъезд 1, усл. Номер (индекс) 26 ст. оси: 5-6/А-В.</t>
  </si>
  <si>
    <t>ДОГОВОР ПОЖЕРТВОВАНИЯ №144 ОТ 01.12.2016</t>
  </si>
  <si>
    <t>двухкомнатная кв-ра, площадь: 57,3 кв.м, площадь балкона/лоджии 0,6 кв.м, Д1, этаж 2, подъезд 1, усл. Номер (индекс) 5 ст. оси: 9-11/А-Е.</t>
  </si>
  <si>
    <t>однокомнатная кв-ра, площадь: 38,5 кв.м, площадь балкона/лоджии 0,6 кв.м, Д1, этаж 4, подъезд 3, усл. Номер (индекс) 62 ст. оси: 24-27/А-Е.</t>
  </si>
  <si>
    <t>1/4 (Одна четвертая) доля 2-е (двухкомнатная) квартира, площадь: 41,0 кв.м, жил. пл. 22  кв. м.,Д1, этаж 4, подъезд 1. усл. Номер (индекс) 22, стр. оси: 7-9/Г-И.</t>
  </si>
  <si>
    <t>1/4 (Одна четвертая) доля 2-е (двухкомнатная) квартира, площадь: 44,8 кв.м, пл. балкона/лоджии 0,6  кв. м.,Д1, этаж 4, подъезд 1. усл. Номер (индекс) 28, стр. оси: 1-4/А-Г.</t>
  </si>
  <si>
    <t>двухкомнатная кв-ра, площадь: 57,3 кв.м, площадь балкона/лоджии 0,6 кв.м, Д1, этаж 4, подъезд 3, усл. Номер (индекс) 68 ст. оси: 17-19/А-Е.</t>
  </si>
  <si>
    <t>4-е (евро-четырехкомнатная) кв-ра, площадь: 73,60 кв.м,  Д1, этаж 3, подъезд 2, усл. Номер (индекс) 35 ст. оси: 14-16/А-Е.</t>
  </si>
  <si>
    <t>4-е (евро-четырехкомнатная) кв-ра, площадь: 73,60 кв.м,  Д1, этаж 4, подъезд 2, усл. Номер (индекс) 38 ст. оси: 14-16/А-Е.</t>
  </si>
  <si>
    <t>1/4 (Одна четвертая) каждого кредитора. (трехкомнатная) квартира, площадь: 51,7 кв.м, пл. балкона/лоджии 1,1 кв. м.,Д1, этаж 1, подъезд 1. усл. Номер (индекс) 3, стр. оси: 3-6/Г-Ж.</t>
  </si>
  <si>
    <t>Родионов Альберт Валентинович</t>
  </si>
  <si>
    <t>Паспорт гражданина РФ серия 40 03 937939, выдан 21.04.2003г.45 отделом милиции невского р-на С-П, код подразделения 782-045</t>
  </si>
  <si>
    <t>193079, г.Санкт-Петербург, ул.Народная, д.13 кв.10</t>
  </si>
  <si>
    <t>ДДУ№ 65/2017/Д1-1Б</t>
  </si>
  <si>
    <t>2-е (евро-двух-я) кв-ра, площадь: 36,2 кв.м, пл. балкона/лоджии 0,6 кв.м.,  Д1, этаж 3, подъезд 1, усл. Номер (индекс) 18 ст. оси: 3-5/А-В.</t>
  </si>
  <si>
    <t>ДОГОВОР ПОЖЕРТВОВАНИЯ №196 ОТ 21.04.2017</t>
  </si>
  <si>
    <t>Родионов Николай Юрьевич</t>
  </si>
  <si>
    <t>Паспорт гражданина РФ серии 40 02 №166301, выдан 30.03.2002 70 отделом милиции Невского р-на СБП КП 782-070</t>
  </si>
  <si>
    <t>193231 г.Санкт-Петербург, ул.Коллонтай, д.21, корп.1, кв.141</t>
  </si>
  <si>
    <t>ДДУ№ 02/2016/Д1-1Б</t>
  </si>
  <si>
    <t>3-е (евро-трех-я) кв-ра, площадь: 51,7 кв.м,  Д1, этаж 2, подъезд 1, усл. Номер (индекс) 12 ст. оси: 4-6/Г-Ж.</t>
  </si>
  <si>
    <t xml:space="preserve"> ДДУ№68/2017/Д1-1Б </t>
  </si>
  <si>
    <t>Романов Владимир Анатольевич</t>
  </si>
  <si>
    <t xml:space="preserve">Паспорт гражданина РФ, серия: 41 02, №707036, выдан: 22.08.2002г., Пашским отделением милиции Волховского р-на Ленинградской обл., код подр. 473-004 </t>
  </si>
  <si>
    <t>г.Санкт-Петербург, Дыбенко ул., д.23, корп.1  кв.27</t>
  </si>
  <si>
    <t>однокомнатная кв-ра, площадь: 38,5 кв.м, площадь балкона/лоджии 0,6 кв.м, Д1, этаж 2, подъезд 3, усл. Номер (индекс) 44 ст. оси: 24-27/В-Д.</t>
  </si>
  <si>
    <t>Рыгачева Екатерина Владимировна</t>
  </si>
  <si>
    <t>Рыгачева Злата Сергеевна</t>
  </si>
  <si>
    <t>Рыгачев Илья Анатольевич</t>
  </si>
  <si>
    <t>Скамейкина Галина Григорьевна</t>
  </si>
  <si>
    <t>Представитель к/к Петрухин А.Д. petruhin@uap-group.ru</t>
  </si>
  <si>
    <t xml:space="preserve">ДДУ№54/2016/Д1-1Б </t>
  </si>
  <si>
    <t>компенсация морального вреда</t>
  </si>
  <si>
    <t>РЕЗАЛЮТИВНАЯ ЧАСТЬ ОТ 13.05.2020 АС СПБ</t>
  </si>
  <si>
    <t>Паспорт гражданина РФ, серия: 40 03 №029150, выдан: 27.09. 2002 г., 1 Отделом милиции Адмиралтейского р-на С-П., код подр. 782-001</t>
  </si>
  <si>
    <t>Паспорт гражданина РФ, серия: 40 02 № 240232, выдан: 07.04. 2002 г.,1 отделом милиции Адмиралтейского р-на .Санкт-Петербурга., код подр. 782-001</t>
  </si>
  <si>
    <t xml:space="preserve">Свидетельство о рождении Ш-АК №710277 выд.14.11.2013г./ </t>
  </si>
  <si>
    <t>г.Санкт-Петербург, ул.Витебская, д.20, кв.24</t>
  </si>
  <si>
    <t>паспорта не приложены</t>
  </si>
  <si>
    <t>Жукова Александра Анатольевна</t>
  </si>
  <si>
    <t>Лебедев Алексей Евгеньевич</t>
  </si>
  <si>
    <t>194295, г. Санкт-Петербург, Выборгский р-н, пр-кт Художников, д. 20, к.1, кв. 200</t>
  </si>
  <si>
    <t>194295, г. Санкт-Петербург, Светлановский пр-т, д. 79, кв. 364</t>
  </si>
  <si>
    <t>Паспорт гражданина РФ 41 13 565390 выдан 16.01.2014 г. ТП №89 отдела УФМС России по Санкт-Петербургу и Ленинградской обл.  в Волховском р-не, код подр. 470-005</t>
  </si>
  <si>
    <t>Паспорт гражданина РФ 40 19 385792 выдан 12.08.2019 г. ГУ МВД России по г. Санкт-Петербургу и Ленинградской области, код подр. 780-008</t>
  </si>
  <si>
    <t>ДДУ№ 64/2017/Д1-1Б</t>
  </si>
  <si>
    <t>1/4 (Одна четвертая)  (трехкомнатная) квартира, площадь: 41 кв.м, жил.площадь 14,3 кв.м.,Д1, этаж 1, подъезд 1. усл. Номер (индекс) 1, стр. оси: 7-9/Г-И.</t>
  </si>
  <si>
    <t>однокомнатная кв-ра, площадь: 38,5 кв.м, площадь балкона/лоджии 0,6 кв.м, Д1, этаж 3, подъезд 3, усл. Номер (индекс) 53 ст. оси: 24-27/В-Д.</t>
  </si>
  <si>
    <t>Лаврентьев Владимир Александрович</t>
  </si>
  <si>
    <t>Паспорт гражданина РФ 40 09 978564 выдан 06.05.2010 г.ТП №54 отдела УФМС России по Санкт-Петербургу и Ленинградской обл. в Невском р-не гор.Санкт-Петербурга, код подр. 780-054</t>
  </si>
  <si>
    <t>193315 г.Санкт-Петербург, пр.Большевиков, д.59, корп.2, кв.58</t>
  </si>
  <si>
    <t xml:space="preserve">ДДУ№34/2016/Д1-1Б </t>
  </si>
  <si>
    <t>2-е (евро-двух-я) кв-ра, площадь: 37,6 кв.м, пл. балкона/лоджии 0,6 кв.м.,  Д1, этаж 3, подъезд 2, усл. Номер (индекс) 36 ст. оси: 14-15/А-В.</t>
  </si>
  <si>
    <t>Договор пожертвования</t>
  </si>
  <si>
    <t xml:space="preserve">Киндер Алим Григорьевич </t>
  </si>
  <si>
    <t>ДДУ№ 78/2017/Д1-1Б</t>
  </si>
  <si>
    <t>Паспорт гражданина РФ 40 08 759192 выдан 16.06.2009 г. ТП №11 отдела УФМС России по Санкт-Петербургу и Ленинградской обл. в Выборгском р-не гор. Санкт-Петербурга, код подр. 780-011</t>
  </si>
  <si>
    <t>194295, г. Санкт-Петербург, Выборгский р-н, пр. Художников, д. 5, корп. 1, кв. 301</t>
  </si>
  <si>
    <t>двухкомнатная кв-ра, площадь: 57,3 кв.м, площадь балкона/лоджии 0,6 кв.м, Д1, этаж 3, подъезд 2, усл. Номер (индекс) 34 ст. оси: 12-15/А-Е.</t>
  </si>
  <si>
    <t xml:space="preserve">
2 950 000
</t>
  </si>
  <si>
    <t>НЕТ ПОДТВЕРЖДЕНИЯ ОПЛАТЫ</t>
  </si>
  <si>
    <t>ДДУ№ 14/2016/Д1-1Б</t>
  </si>
  <si>
    <t>ДОГОВОР ПОЖЕРТВОВАНИЯЯ 5 НА СУММУ 358575, НА ОСТАЛЬНУЮ СУММУ НЕТ ПОДТВЕРЖДЕНИЯ</t>
  </si>
  <si>
    <t>Курилович Евгений Константинович</t>
  </si>
  <si>
    <t>Дорофеева Яна Александровна</t>
  </si>
  <si>
    <t>1/2 (Одна вторая) доля трехкомнатная квартира, площадь: 45,90 кв.м, Д1, этаж 1, подъезд 1. усл. Номер (индекс) 2, стр. оси: 1-4/В-Д.</t>
  </si>
  <si>
    <t>Паспорт гражданина РФ серия 19 08 569244, выдан 24.10.2008. ТП УФМС России по Вологодской области в Устюженском районе р-не г. Санкт-Петербурга, код подразделения 350-024</t>
  </si>
  <si>
    <t>Паспорт гражданина РФ серия 41 14 637451, выдан 02.10.2014. ТП №93 УФМС России по Санкт-Петербургу и Ленинградской обл. в Всеволжском р-не, код подразделения 470-009</t>
  </si>
  <si>
    <t>196084, г.Санкт-Петербург, Московский проспект, д. 86, кв. 59</t>
  </si>
  <si>
    <t>Калинин Александр Дмитриевич</t>
  </si>
  <si>
    <t>Паспорт гражданина РФ серии 40 10 №033086, выдан 20.10.2010,ТП №20 отдела УФМС России по С-П и Лен.обл. в Калининском р-не г.Санкт-петербурга код подразделения 780-020</t>
  </si>
  <si>
    <t>195271, г.Санкт-Петербург, Калининский район, ул.Замшина, д.31, кв.254</t>
  </si>
  <si>
    <t>ДУД№ 05/2016/Д1-1Б</t>
  </si>
  <si>
    <t>евро-двухкомнатная кв-ра, площадь: 35,6 кв.м,  Д1, этаж 2, подъезд 3, усл. Номер (индекс) 49 ст. оси: 18-20/А-Е.</t>
  </si>
  <si>
    <t>Крылова Ольга Николаевна</t>
  </si>
  <si>
    <t>Крылова Елизавета Александровна</t>
  </si>
  <si>
    <t>Крылов Александр Александрович</t>
  </si>
  <si>
    <t>195426, г. Санкт-Петербург, Индустриальный проспект, д.17, корп. 2, кв.2</t>
  </si>
  <si>
    <t>195426, г. Санкт-Петербург, Индустриальный проспект, д.17, корп. 2, кв.3</t>
  </si>
  <si>
    <t>ДДУ№ 40/2016/Д1-1Б</t>
  </si>
  <si>
    <t>1/3 (Одна третья)  доля, трехкомнатная квартира, площадь: 36,2 кв.м, пл. балкона/лоджии 0,6 кв. м.,Д1, этаж 3, подъезд 1. усл. Номер (индекс) 16, стр. оси: 6-8/А-В.</t>
  </si>
  <si>
    <t>89626856678/89213802061</t>
  </si>
  <si>
    <t>Паспорт гражданина РФ серии 40 50 № 476009, выдан 17.03.2016 ТП № 33 Отдела УФМС России по Санкт-Петербургу и Ленинградской обл. в Красногвардейском р-не г. Санкт-Петербурга, КП780-033</t>
  </si>
  <si>
    <t>Паспорт гражданина РФ серии 40 12 № 666278, выдан 15.02.2013 ТП № 33 Отдела УФМС России по Санкт-Петербургу и Ленинградской обл. в Красногвардейском р-не г. Санкт-Петербурга, КП 780-033</t>
  </si>
  <si>
    <t>Паспорт гражданина РФ серии 40 13 № 832584, выдан 29.08.2013 ТП № 33 Отдела УФМС России по Санкт-Петербургу и Ленинградской обл. в Красногвардейском р-не г. Санкт-Петербурга, КП 780-033</t>
  </si>
  <si>
    <t>Кутковецкая Олеся Ивановна</t>
  </si>
  <si>
    <t>Паспорт гражданина РФ 40 17 979018 выдан 15.02.2018 г. ГУ МВД России по г. Санкт-Петербургу и Ленинградской области, код подр. 780-042</t>
  </si>
  <si>
    <t xml:space="preserve">ДДУ№71/2017/Д1-1Б </t>
  </si>
  <si>
    <t>192238, г. Санкт-Петербург, Фрунзенский район, ул. Турку, д. 12, корпус 5, кв. 45 для Кутковецкой О.И.</t>
  </si>
  <si>
    <t>двухкомнатная кв-ра, площадь: 57,3 кв.м, площадь балкона/лоджии 0,6 кв.м, Д1, этаж 2, подъезд 2, усл. Номер (индекс) 31 ст. оси: 12-15/А-Е.</t>
  </si>
  <si>
    <t>ДОГОВОР ПОЖЕРТВОВАНИЯ</t>
  </si>
  <si>
    <t>Курбанов Мухтар Абдураимович</t>
  </si>
  <si>
    <t>Курбанова Ризида Куттузовна</t>
  </si>
  <si>
    <t>Курбанов Рустам Мухтарович</t>
  </si>
  <si>
    <t>Курбанова Лилия Мухтаровна</t>
  </si>
  <si>
    <t>197227, Санкт-Петербург, пр.Сизова, д.14, кв.125</t>
  </si>
  <si>
    <t>197227, Санкт-Петербург, пр.Сизова, д.14, кв.126</t>
  </si>
  <si>
    <t xml:space="preserve">ДДУ№39/2016/Д1-1Б </t>
  </si>
  <si>
    <t>1/4 доля  2-е (евро-двух-я) кв-ра, площадь: 41,00 кв.м, Д1, этаж 2, подъезд 1, усл. Номер (индекс) 4 ст. оси: 7-9/Г-И.</t>
  </si>
  <si>
    <t xml:space="preserve">
1 980 000,00
</t>
  </si>
  <si>
    <t>Паспорт гражданина РФ, серия: 40 08, № 688501, выдан: 19. 01. 2009 г., ТП №68 отдела УФМС России по Санкт-Петербургу и Лен.обл., код подр. 780-068</t>
  </si>
  <si>
    <t>Паспорт гражданина РФ, серия: 40 10, № 008830, выдан: 19. 05. 2010 г., ТП №68 отдела УФМС России по Санкт-Петербургу и Лен.обл., код подр. 780-068</t>
  </si>
  <si>
    <t>Паспорт гражданина РФ, серия: 40 11, № 352200, выдан: 20. 12. 2011 г., ТП №68 отдела УФМС России по Санкт-Петербургу и Лен.обл., код подр. 780-068</t>
  </si>
  <si>
    <t>Паспорт гражданина РФ, серия: 40 07, № 084582, выдан: 26. 10. 2006 г., 44 отделом милиции Приморского р-на Санкт-Петербургу., код подр. 782-044</t>
  </si>
  <si>
    <t>Онищук Екатерина Валерьевна</t>
  </si>
  <si>
    <t>Паспорт гражданина РФ серии 41 13 №581605, выдан 04.03.2014, ТП №110 отделения УФМС России по Санкт-петербургу и ленинградской обл. в Кингисепском р-не, код подразделения 470-026</t>
  </si>
  <si>
    <t>17</t>
  </si>
  <si>
    <t>18</t>
  </si>
  <si>
    <t>188689, Ленинградская область, Всеволожский р-он, г.Кудрово, ул.Пражская, д.9, кв.663</t>
  </si>
  <si>
    <t>ДДУ№ 55/2016/Д1-1Б</t>
  </si>
  <si>
    <t>2-е (евро-двух-я) кв-ра, площадь: 35,6 кв.м, пл. балкона/лоджии 0,6 кв.м.,  Д1, этаж 2, подъезд 1, усл. Номер (индекс) 6 ст. оси: 8-10/А-В.</t>
  </si>
  <si>
    <t>Рыжкина Полина Константиновна</t>
  </si>
  <si>
    <t>Рыжкин Алексей Алексеевич</t>
  </si>
  <si>
    <t>Паспорт гражданина РФ, серия: 40 00 №506952, выдан: 19.04.2001г., 12 отделом милиции Московского района Санкт-Петербурга, код подр. 782-012</t>
  </si>
  <si>
    <t>Паспорт гражданина РФ, серия: 45 19 №016139, выдан: 25.12.2018г., ГУ МВД России по г.Москве, код подр. 770-063</t>
  </si>
  <si>
    <t xml:space="preserve"> 121615, г.Москва, Рублевское шоссе, д.14, корп.1, кв.71</t>
  </si>
  <si>
    <t>2-е (евро-двух-я) кв-ра, площадь: 41,00 кв.м, Д1, этаж 2, подъезд 3, усл. Номер (индекс) 51 ст. оси: 19-21/Г-И.</t>
  </si>
  <si>
    <t xml:space="preserve">ДДУ№38/2016/Д1-1Б </t>
  </si>
  <si>
    <t>Перегуда Роман Павлович</t>
  </si>
  <si>
    <t>Паспорт гражданина РФ 40 07 450955 выдан 28.04.2008 г. ТП №22 отдела УФМС России по Санкт-Петербургу и Ленинградской обл. в Калининском р-не гор. Санкт-Петербурга, код подр. 780-022</t>
  </si>
  <si>
    <t>195256, г. Санкт-Петербург, ул. Верности, д. 20, кв. 93</t>
  </si>
  <si>
    <t>ДДУ№ 67/2017/Д1-1Б</t>
  </si>
  <si>
    <t>2-е (евро-двух-я) кв-ра, площадь: 44,8 кв.м, пл. балкона/лоджии 0,6 кв.м., Д1, этаж 4, подъезд 3, усл. Номер (индекс) 63 ст. оси: 24-27/А-Г.</t>
  </si>
  <si>
    <t>Кострыкин Денис Олегович</t>
  </si>
  <si>
    <t>Паспорт гражданина РФ серия 40 07 407802, выдан 26.05.2008 г. ТП № 63 отдела УФМС России по Санкт-Петербургу и Ленинградской обл. в Петродворцовом р-не гор. Санкт-Петербурга, код подразделения 780-063</t>
  </si>
  <si>
    <t>Паспорт гражданина РФ серия 40 03 220927, выдан 21.11.2002 г. 1 отдел Милиции Адмиралтейского района Санкт-Петербурга, код подразделения 782-001</t>
  </si>
  <si>
    <t>Анишина Ирина Николаевна</t>
  </si>
  <si>
    <t>ДДУ№ 33/2016/Д1-1Б</t>
  </si>
  <si>
    <t>191028, г. Санкт-Петербург, Литейный пр., д.26 оф.514(БЦ «Преображенский двор» для ООО «ЮАП»)</t>
  </si>
  <si>
    <t>двухкомнатная кв-ра, площадь: 57,3 кв.м, площадь балкона/лоджии 0,6 кв.м, Д1, этаж 3, подъезд 1, усл. Номер (индекс) 14 ст. оси: 9-11/А-Е.</t>
  </si>
  <si>
    <t>ПП НА СУММУ 508547 НЕ ПРЕДОСТАВЛЕНА, ПО БАНКУ ТОЖЕ НЕТ</t>
  </si>
  <si>
    <t>Трофимова Валерия Алексеевна</t>
  </si>
  <si>
    <t>Трофимов Артем Сергеевич</t>
  </si>
  <si>
    <t>Трофимова Арина Сергеевна</t>
  </si>
  <si>
    <t>Паспорт гражданина РФ, серия 40 08, № 476057, выдан: 19 08. 2008, ТП №43 отдела УФМС России по Санкт - Петербургу и Ленинградской обл. в Красносельском р-не гор. Санкт- Петербурга, (код подразделения. 780-043)</t>
  </si>
  <si>
    <t>Свидетельство о рождении III-АК №723772 выдано 05.03.2014 Отделом ЗАГС Кировского района Комитета по делам ЗАГС Правительства Санкт- Петербурга</t>
  </si>
  <si>
    <t>Свидетельство о рождении III-АК №723771 05.03.2014 Отделом ЗАГС Кировского района Комитета по делам ЗАГС Правительства Санкт- Петербурга</t>
  </si>
  <si>
    <t>г. Санкт -Петербург, Комендантский пр., д.69 стр.1, кв.889</t>
  </si>
  <si>
    <t xml:space="preserve">ДДУ№29/2016/Д1-1Б </t>
  </si>
  <si>
    <t>Дело №2-5074/2018 от 26.11.2018 г., неустойка</t>
  </si>
  <si>
    <t>2-е (евро-двух-я) кв-ра, площадь: 41,00 кв.м,  Д1, этаж 3, подъезд 1, усл. Номер (индекс) 13 ст. оси: 7-9/И-Г.</t>
  </si>
  <si>
    <t>Тропанихин Андрей Алексеевич</t>
  </si>
  <si>
    <t>Тропанихина Надежда Андреевна</t>
  </si>
  <si>
    <t>ДДУ№ 27/2016/Д1-1Б</t>
  </si>
  <si>
    <t>2-е (евро-двух-я) кв-ра, площадь: 36,20 кв.м,  Д1, этаж 2, подъезд 1, усл. Номер (индекс) 9 ст. оси: 3-5/А-В.</t>
  </si>
  <si>
    <t>Паспорт гражданина РФ серии 40 11 №452976 , выдан 27.02.2012 ТП № 65 Отдела УФМС России по Санкт-Петербургу и Ленинградской обл. в Приморском р-не г.С-П, код подразделения 780-065</t>
  </si>
  <si>
    <t>Паспорт гражданина РФ серии 40 15 №288554, выдан 27.05.2015, ТП №3 Отдела УФМС России по Санкт-Петербургу и Ленинградской обл. в Адмиралтейском р-не г.С-П, код подразделения 780-003</t>
  </si>
  <si>
    <t>197374 г.Санкт-Петербург, ул.Савушкина, д.131, кв.63</t>
  </si>
  <si>
    <t>г.Санкт-Петербург, ул.6-я Красноармейская, д.15, кв.7</t>
  </si>
  <si>
    <t>ПОЛНАЯ ОПЛАТА ПО ДОГОВОРУ</t>
  </si>
  <si>
    <t>Мещеряков Сергей Александрович</t>
  </si>
  <si>
    <t>Паспорт гражданина РФ, серия: 40 15, №481668, выдан: 14 04. 2016г. ТП №54 отдела УФМС России по Санкт-Петербургу и Ленинградской обл. в Невском р-не г.Санкт-Петербурга, код подр. 780-054</t>
  </si>
  <si>
    <t xml:space="preserve">ДДУ№41/2016/Д1-1Б </t>
  </si>
  <si>
    <t>188689, Ленинградская обл., Всеволожский р-он, Янино-1, ул.Ясная, д.9, корп.1, кв.227</t>
  </si>
  <si>
    <t>2-е (евро-двух-я) кв-ра, площадь: 35,6 кв.м, пл. балкона/лоджии 0,6 кв.м.,   Д1, этаж 3, подъезд 1, усл. Номер (индекс) 15 ст. оси: 8-10/А-В.</t>
  </si>
  <si>
    <t>Микульский Андрей Сергеевич</t>
  </si>
  <si>
    <t>Паспорт гражданина РФ 47 09 240992 выдан 16.12.2009 г. Межрайонным отделом УФМС России по Мурманской области в г. Кола, код подр. 510-009</t>
  </si>
  <si>
    <t>ДДУ№ 25/2016/Д1-1Б</t>
  </si>
  <si>
    <t>188640,Ленинградская область, г. Всеволожск, ул. Ленинградская, д. 13, кв. 133</t>
  </si>
  <si>
    <t>2-е (евро-двух-я) кв-ра, площадь: 36,2 кв.м, ,   Д1, этаж 4, подъезд 1, усл. Номер (индекс) 27 ст. оси: 3-5/А-В.</t>
  </si>
  <si>
    <t xml:space="preserve">
156 200,00
</t>
  </si>
  <si>
    <t>НЕТ ОПЛАТЫ НА СУММУ 
156 200,00</t>
  </si>
  <si>
    <t>Мурашко Андрей Михайлович</t>
  </si>
  <si>
    <t>Паспорт гражданина РФ, серия: 40 10, № 158794, выдан: 01.11.2010 г., ТП №34 отдела УФМС России по Санкт-Петербургу и Лен. обл. в Красногвардейском р-не гор. Санкт-Петербурга, код подр. 780-034</t>
  </si>
  <si>
    <t>195248, г. Санкт-Петербург, пр. Энергетиков, д. 35, корп. 1, кв. 55</t>
  </si>
  <si>
    <t xml:space="preserve">ДДУ№36/2016/Д1-1Б </t>
  </si>
  <si>
    <t>Войчук Маргарита Сергеевна</t>
  </si>
  <si>
    <t>2-е (евро-двух-я) кв-ра, площадь: 37,6 кв.м, пл. балкона/лоджии 0,6 кв.м.,    Д1, этаж 2, подъезд 2, усл. Номер (индекс) 33 ст. оси: 14-15/А-В.</t>
  </si>
  <si>
    <t>Паспорт гражданина РФ, серия: 40 08, № 773284, выдан: 09.09.2009 г., ТП №20 отдела УФМС России по Санкт-Петербургу и Лен. обл. в Калининском р-не гор. Санкт-Петербурга, код подр. 780-020</t>
  </si>
  <si>
    <t>Михайлова Ольга Евгеньевна</t>
  </si>
  <si>
    <t>Паспорт гражданина РФ серии 41 06 №893331, выдан 19.12.2006, УВД Всеволожского района Ленинградской области, код подразделения 472-004</t>
  </si>
  <si>
    <t>Ленинградская обл., Всеволожский р-он, п.Романовка, д.13, кв.29</t>
  </si>
  <si>
    <t>ДДУ11/2016/Д1-1Б</t>
  </si>
  <si>
    <t>евро-двухкомнатная кв-ра, площадь: 36,20 кв.м,  Д1, этаж 3, подъезд 3, усл. Номер (индекс) 55 ст. оси: 23-25/А-В.</t>
  </si>
  <si>
    <t>Магомедова Евгения Мурадовна</t>
  </si>
  <si>
    <t>195267, г.Санкт-Петербург, пр.Просвещения, д.87, к.1,  кв.196</t>
  </si>
  <si>
    <t>ДДУ№ 60/2017/Д1-1Б</t>
  </si>
  <si>
    <t>2-е (евро-двух-я) кв-ра, площадь: 36,2 кв.м, пл. балкона/лоджии 0,6 кв.м.,    Д1, этаж 4, подъезд 3, усл. Номер (индекс) 66 ст. оси: 20-22/А-В.</t>
  </si>
  <si>
    <t>НЕТ ОПЛАТЫ НА СУММУ 573670</t>
  </si>
  <si>
    <t>Сулейманов Ислам Пирбудагович</t>
  </si>
  <si>
    <t>Сулейманова Джами Гамзатовна</t>
  </si>
  <si>
    <t>Сулейманов Пирбудаг Исламович</t>
  </si>
  <si>
    <t>Свидетельство о рождении серия I-ВО №861035 выдано 08.10.2014 г. Управлением ЗАГС администрации МО «Всеволожский муниципальный район» ленинградской области</t>
  </si>
  <si>
    <t>Паспорт гражданина РФ 41 15 740736 выдан 12.03.2016 г. ТП №93 отдела УФМС России по Санкт-Петербургу и Ленинградской обл. во Всеволожском р-не, код подр. 470-009</t>
  </si>
  <si>
    <t>Паспорт гражданина РФ 82 08 609761 выдан 23.02.2009 г. Отделом УФМС России по Республике Дагестан в Хасавюртовском районе, код подр. 050-054</t>
  </si>
  <si>
    <t>188671, Ленинградская область, Всеволожский район, п. Рахья, ул. Лары Михеенко, д. 1, кв. 8</t>
  </si>
  <si>
    <t xml:space="preserve">ДДУ№66/2017/Д1-1Б </t>
  </si>
  <si>
    <t>1/3 (Одна третья)  доля, трехкомнатная квартира, площадь: 57,3 кв.м, жил. Площадь 33,9 кв.м., пл. балкона/лоджии 0,6 кв. м.,Д1, этаж 3, подъезд 3. усл. Номер (индекс) 59, стр. оси: 17-19/А-Е.</t>
  </si>
  <si>
    <t xml:space="preserve">ДДУ№37/2016/Д1-1Б </t>
  </si>
  <si>
    <t>Соколов Александр Борисович</t>
  </si>
  <si>
    <t>Соколова Надежда Сергеевна</t>
  </si>
  <si>
    <t>Соколова Вероника Александровна</t>
  </si>
  <si>
    <t>Соколова Василиса Александровна</t>
  </si>
  <si>
    <t>Паспорт гражданина РФ, серия: 41 03, № 408498, выдан: 27.10.2003 г., Главное управление внутренних дел Санкт-Петербурга и Ленинградской области, код подр. 471-001</t>
  </si>
  <si>
    <t xml:space="preserve">Паспорт гражданина РФ, серия: 40 05, № 746579, выдан: 01.11.2005 г., 71 отдел милиции Пероградского района Санкт-Петербурга, код подр. 782-071/ </t>
  </si>
  <si>
    <t>197198, г. Санкт-Петербург, Зверинская ул., дом 5</t>
  </si>
  <si>
    <t>197198, г. Санкт-Петербург, Зверинская ул., дом 6</t>
  </si>
  <si>
    <t>197198, г. Санкт-Петербург, Зверинская ул., дом 7</t>
  </si>
  <si>
    <t>197198, г. Санкт-Петербург, Зверинская ул., дом 8</t>
  </si>
  <si>
    <t>1/4 доля  4-е (евро-четырех-я) кв-ра, площадь: 73,6 кв.м, пл. балкона/лоджии 0,6 кв.м., Д1, этаж 2, подъезд 2, усл. Номер (индекс) 32 ст. оси: 14-16/А-Е.</t>
  </si>
  <si>
    <t>паспорт 40 18 174778 ГУ МВД РОССИИ ПО СПБ И ЛО  14.11.2018 кп 780-034</t>
  </si>
  <si>
    <t>свидетельство о рождении 1-АК № 886665, место гос. Регистрации: отдел ЗАГС администрации Петроградского района Санкт-Петербурга, выдано:25.04.2006</t>
  </si>
  <si>
    <t>Спиридонов Евгений Николаевич</t>
  </si>
  <si>
    <t>Паспорт гражданина РФ 40 03 899608 выдан 21.05.2003 г. 39 отделом милиции Колпинского района Санкт-Петербурга, код подр. 782-039/</t>
  </si>
  <si>
    <t>Паспорт гражданина РФ 40 97 110521 выдан 01.12.1998 г. 39 отделом милиции Колпинского района Санкт-Петербурга, код подр. 782-039</t>
  </si>
  <si>
    <t>Спиридонова Юлия Ивановна</t>
  </si>
  <si>
    <t>196641, г. Санкт-Петербург, пос. Металлострой, ул. Полевая, д. 25, кв. 158</t>
  </si>
  <si>
    <t xml:space="preserve">ДДУ№19/2016/Д1-1Б </t>
  </si>
  <si>
    <t>89213040858</t>
  </si>
  <si>
    <t>89213853224</t>
  </si>
  <si>
    <t>3-е (евро-трех-я) кв-ра, площадь: 51,7 кв.м,  Д1, этаж 2, подъезд 1, усл. Номер (индекс) 30 ст. оси: 4-6/Г-Ж.</t>
  </si>
  <si>
    <t>соглашение с метрами</t>
  </si>
  <si>
    <t>Сычева Ольга Матвеевна</t>
  </si>
  <si>
    <t>89214066486</t>
  </si>
  <si>
    <t>2-е (евро-двух-я) кв-ра, площадь: 37,6 кв.м, пл. балкона/лоджии 0,6 кв.м.,    Д1, этаж 4, подъезд 2, усл. Номер (индекс) 39 ст. оси: 14-15/А-В.</t>
  </si>
  <si>
    <t xml:space="preserve">Сычев Юрий Витальевич </t>
  </si>
  <si>
    <t>Паспорт гражданина РФ серии 58 05 №831359, выдан 13.04.2006,18 ОВД Новоржевского р-на Псковской обл., код подразделения 602-012</t>
  </si>
  <si>
    <t>Паспорт гражданина РФ серии 58 09 №989182, выдан 17.08.2009, ТП УФМС по Псковской обл. в Новоржевском р-не, код подразделения 600-012</t>
  </si>
  <si>
    <t>194017, г.Санкт-Петербург, ул.Дрезденская, д.28, кв.23</t>
  </si>
  <si>
    <t>ДДУ№ 42/2016/Д1-1Б</t>
  </si>
  <si>
    <t xml:space="preserve">ДОГОВОР ПОЖЕРТВОАНИЯ </t>
  </si>
  <si>
    <t>Сигалин Максим Владимирович</t>
  </si>
  <si>
    <t xml:space="preserve">ДДУ№13/2016/Д1-1Б </t>
  </si>
  <si>
    <t>Стерлегова Юлия Олеговна</t>
  </si>
  <si>
    <t>193318, г. Санкт-Петербург, ул. Коллонтай, д. 6, к. 2, кв. 784</t>
  </si>
  <si>
    <t>однокомнатная кв-ра, площадь: 38,5 кв.м,  Д1, этаж 4, подъезд 1, усл. Номер (индекс) 29 ст. оси: 1-4/В-Д.</t>
  </si>
  <si>
    <t>Паспорт гражданина РФ 40 05 607869 выдан 26.04.2005 Управлением внутренних дел Петродворцового района Санкт-Петербурга, код подр. 782-085</t>
  </si>
  <si>
    <t>Паспорт гражданина РФ 40 03 088089 выдан 03.10.2002 Управлением внутренних дел Петродворцового района Санкт-Петербурга, код подр. 782-085/</t>
  </si>
  <si>
    <t>Слепышева-Садовникова Елена Сергеевна</t>
  </si>
  <si>
    <t xml:space="preserve">ДДУ№20/2016/Д1-1Б </t>
  </si>
  <si>
    <t>89052259600/</t>
  </si>
  <si>
    <t>89052550089</t>
  </si>
  <si>
    <t>однокомнатная кв-ра, площадь: 38,5 кв.м,  Д1, этаж 3, подъезд 1, усл. Номер (индекс) 20 ст. оси: 1-4/В-Д.</t>
  </si>
  <si>
    <t>194156, г.Санкт-Петербург, Большой Сампсониевский пр-т, д.85, к.1, кв.49</t>
  </si>
  <si>
    <t>Паспорт гражданина РФ, серия: 63 06, №951450, выдан: 02. 02. 2007г., Управлением внутренних дел гор.Балаково и Балаковского района Саратовской области, код подр. 642-012</t>
  </si>
  <si>
    <t>СОГЛАШЕНИЕ С МЕТРАМИ</t>
  </si>
  <si>
    <t>Шарай Наталья Николаевна</t>
  </si>
  <si>
    <t>Шарай Александр Николаевич</t>
  </si>
  <si>
    <t xml:space="preserve">Паспорт гражданина РФ серия 47 12 371141, выдан 15.08.2012г., ТП в гор. Заполярный УФМС России по Мурманской области в пгт. Никель, код подразделения 510-012  </t>
  </si>
  <si>
    <t>ДДУ№ 04/2016/Д1-1Б</t>
  </si>
  <si>
    <t>184430, Мурманская обл., Печенгский р-н, г. Заполярный, Карла Маркса ул., дом 11, кв. 15</t>
  </si>
  <si>
    <t>89600283447</t>
  </si>
  <si>
    <t>89095616200</t>
  </si>
  <si>
    <t>Паспорт гражданина РФ серия 47 17 608988, выдан 02.04.2018 ., УВД РОССИИ ПО МУРМАНСКОЙ ОБЛАСТИ 510-016</t>
  </si>
  <si>
    <t>3-е (евро-трех-я) кв-ра, площадь: 51,7 кв.м,  Д1, этаж 2, подъезд 3, усл. Номер (индекс) 43 ст. оси: 22-24/Г-И.</t>
  </si>
  <si>
    <t>оплата в Юникредит</t>
  </si>
  <si>
    <t>Шаня Анна Николаевна</t>
  </si>
  <si>
    <t>ДДУ№ 44/2016/Д1-1Б</t>
  </si>
  <si>
    <t>141801, Московская область, г. Дмитров, мкр. им. Владимира Махалина, д. 4, кв. 12</t>
  </si>
  <si>
    <t>89112729291</t>
  </si>
  <si>
    <t>Паспорт гражданина РФ серии 40 14 № 039741, выдан 30.07.2014 ТП № 19 Отдела УФМС России по Санкт-Петербургу и Ленинградской обл. в Калининском р-не г. Санкт-Петербурга, выдан 780-019</t>
  </si>
  <si>
    <t>2-е (евро-двух-я) кв-ра, площадь: 44,8 кв.м, пл. балкона/лоджии 0,6 кв.м.,    Д1, этаж 2, подъезд 1, усл. Номер (индекс) 10 ст. оси: 1-3/А-Г.</t>
  </si>
  <si>
    <t>Чотчаева Анастасия Константиновна</t>
  </si>
  <si>
    <t>Паспорт гражданина РФ, серия: 40 12, № 694233, выдан: 26 12. 2012 г., ТП №3 отдела УФМС России по С-П и Ленинградской обл., в Адмиралтейском р-не г.С-П, код подр. 780-003</t>
  </si>
  <si>
    <t xml:space="preserve">ДДУ№70/2017/Д1-1Б </t>
  </si>
  <si>
    <t>89213918742</t>
  </si>
  <si>
    <t>197046, г.Санкт-Петербург, ул.Куйбышева, дом 10  кв.41</t>
  </si>
  <si>
    <t>2-е (евро-двух-я) кв-ра, площадь: 41,00 кв.м,    Д1, этаж 4, подъезд 3, усл. Номер (индекс) 69 ст. оси: 19-21/Г-И.</t>
  </si>
  <si>
    <t xml:space="preserve">
2 072 510,00
</t>
  </si>
  <si>
    <t>Чачин Сергей Владимирович</t>
  </si>
  <si>
    <t>Паспорт гражданина РФ, серия: 41 20, №024439, выдан: 29.08.2019г., ГУ МВД россии по г.Санкт-Петербургу и Ленинградской области, код подр. 470-021</t>
  </si>
  <si>
    <t>187029, Ленинградская область, Тосненский район, д.Нурма, д.26, кв.8</t>
  </si>
  <si>
    <t xml:space="preserve">ДДУ№31/2016/Д1-1Б </t>
  </si>
  <si>
    <t>ПП НЕ ПРЕДОСТАВЛЕНЫ, В БАНКЕ НЕТ</t>
  </si>
  <si>
    <t>89516861774</t>
  </si>
  <si>
    <t>Цаплинова Татьяна Дмитриевна</t>
  </si>
  <si>
    <t>Паспорт гражданина РФ 41 08 090521 выдан 13.08.2008 г. Отделением УФМС России по Санкт-Петербургу и Ленинградской обл. в гор. Сосновый Бор, код подр. 470-055</t>
  </si>
  <si>
    <t>192131, г. Санкт-Петербург, бул. Красных Зорь, д. 13, кв. 25</t>
  </si>
  <si>
    <t>ДДУ№ 16/2016/Д1-1Б</t>
  </si>
  <si>
    <t>89633003007</t>
  </si>
  <si>
    <t>однокомнатная кв-ра, площадь: 38,5 кв.м,  Д1, этаж 2, подъезд 1, усл. Номер (индекс) 11 ст. оси: 1-4/В-Д.</t>
  </si>
  <si>
    <t>2-е (евро-двух-я) кв-ра, площадь: 36,2 кв.м, пл. балкона/лоджии 0,6 кв.м.,  Д1, этаж 4, подъезд 3, усл. Номер (индекс) 64 ст. оси: 23-25/А-В.</t>
  </si>
  <si>
    <t>ДДУ№ 01/2016/Д1-1Б</t>
  </si>
  <si>
    <t>89216562030</t>
  </si>
  <si>
    <t>Зольникова Татьяна Ивановна</t>
  </si>
  <si>
    <t>188431, Ленинградская обл., Волосовский р-н, д. Курковицы, дом 1 кв. 38</t>
  </si>
  <si>
    <t>Паспорт гражданина РФ, серия: 41 05, № 810729, выдан: 22.03.2006 г., Отделом внутренних дел Волосовского района Ленинградской области, код подр. 472-002</t>
  </si>
  <si>
    <t>ДДУ НЕ ПРИЛОЖЕН</t>
  </si>
  <si>
    <t>Дело № 2-2717/2019 от 18.06.2019 г., Определение АС СПБ и ЛО №А56-85873/2018/тр.94 от 27.05.2020</t>
  </si>
  <si>
    <t>Решение Красногвардейског районного суда от 15.01.2019 + определние АС №А56-85873/2018/тр.94 от 27.05.2020</t>
  </si>
  <si>
    <t>Григорьева Анна Николаевна</t>
  </si>
  <si>
    <t>Паспорт гражданина РФ, серия: 40 00, № 468133, выдан: 23.10.2000 г., 18 отделом милиции Петроградского района Санкт-Петербурга, код подр. 782-018</t>
  </si>
  <si>
    <t>195298 г.Санкт-Петербург, пр-кт Косыгина, д.31, корп.3 кв.362</t>
  </si>
  <si>
    <t>ДДУ№ 73/2017/Д1-1Б</t>
  </si>
  <si>
    <t>двухкомнатная кв-ра, площадь: 57,3 кв.м, площадь балкона 0,6 кв.м.,  Д1, этаж 4, подъезд 2, усл. Номер (индекс) 37 ст. оси: 12-15/А-Е.</t>
  </si>
  <si>
    <t>3 812 336,00</t>
  </si>
  <si>
    <t>88129043640</t>
  </si>
  <si>
    <t>Наскалова Наталья Владимировна</t>
  </si>
  <si>
    <t>Наскалов Роман Евгеньевич</t>
  </si>
  <si>
    <t>Наскалова Ульяна Евгеньевна</t>
  </si>
  <si>
    <t>Паспорт гражданина РФ 40 08 642413 выдан 29.10.2008 ТП №1 Отдела УФМС России по Санкт-Петербургу и Ленинградской обл. в Адмиралтейском р-не гор. Санкт-Петербурга (код подразделения  780-001)</t>
  </si>
  <si>
    <t>Свидетельство о рождении серия II-АК № 772380 выдано 20.01.2010 Отделом ЗАГС Адмиралтейского района Комитета по делам ЗАГС Правительства Санкт-Петербурга</t>
  </si>
  <si>
    <t>Свидетельство о рождении серия III-АК № 820111 выдано 29.10.2014 Отделом ЗАГС Адмиралтейского района  Комитета по делам ЗАГС Правительства Санкт-Петербурга</t>
  </si>
  <si>
    <t>190121, г. Санкт-Петербург, ул. Витебская, д. 20, кв. 24</t>
  </si>
  <si>
    <t>ДДУ№24/2016/Д1-1Б от 04.07.2016 (зарегистрирован 12.08.2016 №47-47/012-47/012/020/2016-8581/1)</t>
  </si>
  <si>
    <t>1/3 (одна третья доля) 2е (евро-двухкомнатная кв-ра), площадь: 35,8 кв.м.,  Д1, этаж 3, подъезд 1, усл. Номер (индекс) 17 ст. оси: 5-6/А-Е.</t>
  </si>
  <si>
    <t>Михайловская Евгения Алексеевна</t>
  </si>
  <si>
    <t xml:space="preserve">Паспорт гражданина РФ, серия: 40 10, №061617, выдан: 13.09.2010г., ТП №68 отдела УФМС России по Санкт-Петербургу и Ленинградской обл. в Приморском р-не г.Санкт-Петербурга, код подр. 780-068 </t>
  </si>
  <si>
    <t>197371, г. Санкт-Петербург, пр. Королева, д. 48, корп. 4, кв. 139 / 195176, г. Санкт-Петербург, Пискаревский пр., д. 9, корп. 3, кв. 49</t>
  </si>
  <si>
    <t>№18/2016/Д1-1Б</t>
  </si>
  <si>
    <t>1/2 доли 3-е (евро-трех-я) кв-ра, площадь: 51,7 кв.м,  Д1, этаж 3, подъезд 3, усл. Номер (индекс) 52 ст. оси: 22-25/Ж-Г.</t>
  </si>
  <si>
    <t xml:space="preserve">№18/2016/Д1-1Б </t>
  </si>
  <si>
    <t>89211812206</t>
  </si>
  <si>
    <t>Михайловский Игорь Константинович</t>
  </si>
  <si>
    <t xml:space="preserve">Паспорт гражданина РФ, серия: 40 05, №307724, выдан: 27.07.2004г., 36 отделом милиции Выборгского района Санкт-Петербурга, код подр. 782-036 </t>
  </si>
  <si>
    <t>Паспорт гражданина РФ 40 18 264589 выдан 14.03.2019 г. ГУ МВД России по г. Санкт-Петербургу и Ленинградской области, код подр. 780-046</t>
  </si>
  <si>
    <t>Паспорт гражданина РФ 40 20 № 699263 выдан ГУ МВД России по г. Санкт-Петербургу и Ленинградской области 14.10.2020 года, код подразделения 780-010</t>
  </si>
  <si>
    <t>Паспорт гражданина РФ, серия 4018 № 004830, выдан ГУ МВД г. Санкт-Петербурга и Ленинградской области 07.03.2018 года, код подразделения 782-002</t>
  </si>
  <si>
    <t>Дело №А56-85873/2018/тр.88, НЕУСТОЙКА, штраф</t>
  </si>
  <si>
    <t xml:space="preserve">Трофимов Валерий Алексеевич </t>
  </si>
  <si>
    <t>Паспорт гражданина РФ,серия 40 08, №476057, выдан: 19.08.2008г., 36 отделом милиции Выборгского района Санкт-Петербурга, код подр. 782-036</t>
  </si>
  <si>
    <t>197227, г. Санкт-Петербург, Комендантский пр-кт, д.69 стр.1, кв. 889</t>
  </si>
  <si>
    <t>№29/2016/Д1-1Б</t>
  </si>
  <si>
    <t>3/1 доли двухкомнатная кв-ра, площадь 31,0кв.м., Д, этаж 3 подъезд 1, усл. Номер (индекс) 13</t>
  </si>
  <si>
    <t>№ 29/2016-Д1-1Б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</si>
</sst>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р_._-;\-* #,##0.00_р_._-;_-* &quot;-&quot;??_р_._-;_-@_-"/>
    <numFmt numFmtId="166" formatCode="0.0000%"/>
  </numFmts>
  <fonts count="14" x14ac:knownFonts="1">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b/>
      <sz val="10"/>
      <name val="Arial"/>
      <family val="2"/>
      <charset val="204"/>
    </font>
    <font>
      <b/>
      <sz val="9"/>
      <color theme="1"/>
      <name val="Arial"/>
      <family val="2"/>
      <charset val="204"/>
    </font>
    <font>
      <b/>
      <sz val="9"/>
      <name val="Arial"/>
      <family val="2"/>
      <charset val="204"/>
    </font>
    <font>
      <sz val="9"/>
      <color theme="1"/>
      <name val="Arial"/>
      <family val="2"/>
      <charset val="204"/>
    </font>
    <font>
      <sz val="10"/>
      <color rgb="FFFF0000"/>
      <name val="Arial"/>
      <family val="2"/>
      <charset val="204"/>
    </font>
    <font>
      <sz val="10"/>
      <name val="Arial Cyr"/>
      <charset val="204"/>
    </font>
    <font>
      <sz val="9"/>
      <color indexed="81"/>
      <name val="Tahoma"/>
      <family val="2"/>
      <charset val="204"/>
    </font>
    <font>
      <b/>
      <sz val="9"/>
      <color indexed="81"/>
      <name val="Tahoma"/>
      <family val="2"/>
      <charset val="204"/>
    </font>
    <font>
      <sz val="9"/>
      <name val="Arial"/>
      <family val="2"/>
      <charset val="204"/>
    </font>
    <font>
      <sz val="8"/>
      <name val="Calibri"/>
      <family val="2"/>
      <charset val="204"/>
      <scheme val="minor"/>
    </font>
  </fonts>
  <fills count="1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9" fillId="0" borderId="0"/>
  </cellStyleXfs>
  <cellXfs count="142">
    <xf numFmtId="0" fontId="0" fillId="0" borderId="0" xfId="0"/>
    <xf numFmtId="0" fontId="2" fillId="0" borderId="0" xfId="0" applyFont="1"/>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xf numFmtId="0" fontId="2" fillId="2" borderId="1" xfId="0" applyFont="1" applyFill="1" applyBorder="1"/>
    <xf numFmtId="165" fontId="2" fillId="2" borderId="1" xfId="1" applyFont="1" applyFill="1" applyBorder="1"/>
    <xf numFmtId="14" fontId="2" fillId="0" borderId="1" xfId="0" applyNumberFormat="1" applyFont="1" applyBorder="1" applyAlignment="1">
      <alignment horizontal="center" vertical="center" wrapText="1"/>
    </xf>
    <xf numFmtId="0" fontId="2" fillId="0" borderId="1" xfId="0" applyFont="1" applyFill="1" applyBorder="1" applyAlignment="1">
      <alignment horizontal="left" vertical="center"/>
    </xf>
    <xf numFmtId="165" fontId="2" fillId="0" borderId="1" xfId="1" applyFont="1" applyFill="1" applyBorder="1" applyAlignment="1">
      <alignment vertical="center"/>
    </xf>
    <xf numFmtId="165" fontId="2" fillId="0" borderId="1" xfId="1" applyFont="1" applyBorder="1" applyAlignment="1">
      <alignment vertical="center"/>
    </xf>
    <xf numFmtId="166" fontId="2" fillId="0" borderId="1" xfId="2" applyNumberFormat="1" applyFont="1" applyBorder="1"/>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166" fontId="2" fillId="0" borderId="1" xfId="2" applyNumberFormat="1" applyFont="1" applyBorder="1" applyAlignment="1">
      <alignment vertical="center"/>
    </xf>
    <xf numFmtId="0" fontId="2" fillId="0" borderId="0" xfId="0" applyFont="1" applyAlignment="1">
      <alignment vertical="center"/>
    </xf>
    <xf numFmtId="0" fontId="2" fillId="0" borderId="1" xfId="0" applyFont="1" applyBorder="1" applyAlignment="1">
      <alignment wrapText="1"/>
    </xf>
    <xf numFmtId="0" fontId="2" fillId="0" borderId="0" xfId="0" applyFont="1" applyAlignment="1">
      <alignment wrapText="1"/>
    </xf>
    <xf numFmtId="0" fontId="2" fillId="2" borderId="1" xfId="0" applyFont="1" applyFill="1" applyBorder="1" applyAlignment="1">
      <alignment wrapText="1"/>
    </xf>
    <xf numFmtId="164" fontId="2" fillId="0" borderId="0" xfId="0" applyNumberFormat="1" applyFont="1"/>
    <xf numFmtId="0" fontId="2" fillId="0" borderId="1" xfId="0" applyFont="1" applyBorder="1"/>
    <xf numFmtId="0" fontId="2" fillId="0" borderId="1" xfId="0" applyFont="1" applyFill="1" applyBorder="1" applyAlignment="1">
      <alignment vertical="center" wrapText="1"/>
    </xf>
    <xf numFmtId="0" fontId="2" fillId="0" borderId="1" xfId="0" applyFont="1" applyFill="1" applyBorder="1" applyAlignment="1">
      <alignment vertical="center"/>
    </xf>
    <xf numFmtId="165" fontId="2" fillId="0" borderId="1" xfId="1" applyFont="1" applyFill="1" applyBorder="1"/>
    <xf numFmtId="166" fontId="2" fillId="0" borderId="1" xfId="2" applyNumberFormat="1" applyFont="1" applyFill="1" applyBorder="1"/>
    <xf numFmtId="0" fontId="2" fillId="0" borderId="1" xfId="0" applyFont="1" applyFill="1" applyBorder="1"/>
    <xf numFmtId="14" fontId="2" fillId="0" borderId="1" xfId="0" applyNumberFormat="1" applyFont="1" applyBorder="1" applyAlignment="1">
      <alignment horizontal="center" vertical="center"/>
    </xf>
    <xf numFmtId="0" fontId="2" fillId="0" borderId="0" xfId="0" applyFont="1" applyAlignment="1">
      <alignment horizontal="center" vertical="center"/>
    </xf>
    <xf numFmtId="49" fontId="2" fillId="0" borderId="0" xfId="0" applyNumberFormat="1" applyFont="1"/>
    <xf numFmtId="49" fontId="3"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xf>
    <xf numFmtId="0" fontId="2" fillId="3" borderId="1" xfId="0" applyFont="1" applyFill="1" applyBorder="1" applyAlignment="1">
      <alignment vertical="center"/>
    </xf>
    <xf numFmtId="2" fontId="2"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xf numFmtId="165" fontId="7" fillId="0" borderId="0" xfId="1" applyFont="1"/>
    <xf numFmtId="165" fontId="2" fillId="0" borderId="0" xfId="1" applyFont="1"/>
    <xf numFmtId="165" fontId="2" fillId="0" borderId="1" xfId="1" applyFont="1" applyFill="1" applyBorder="1" applyAlignment="1">
      <alignment vertical="center" wrapText="1"/>
    </xf>
    <xf numFmtId="0" fontId="3" fillId="4" borderId="1" xfId="0" applyFont="1" applyFill="1" applyBorder="1" applyAlignment="1">
      <alignment horizontal="center" vertical="center" wrapText="1"/>
    </xf>
    <xf numFmtId="165" fontId="7" fillId="0" borderId="0" xfId="0" applyNumberFormat="1" applyFont="1"/>
    <xf numFmtId="165" fontId="2" fillId="0" borderId="1" xfId="1" applyFont="1" applyFill="1" applyBorder="1" applyAlignment="1">
      <alignment horizontal="center" vertical="center"/>
    </xf>
    <xf numFmtId="0" fontId="2" fillId="8" borderId="1" xfId="0" applyFont="1" applyFill="1" applyBorder="1" applyAlignment="1">
      <alignment wrapText="1"/>
    </xf>
    <xf numFmtId="0" fontId="2" fillId="0" borderId="1" xfId="0" applyFont="1" applyFill="1" applyBorder="1" applyAlignment="1">
      <alignment wrapText="1"/>
    </xf>
    <xf numFmtId="0" fontId="2" fillId="0" borderId="1" xfId="0" applyFont="1" applyBorder="1" applyAlignment="1">
      <alignment vertical="center" wrapText="1"/>
    </xf>
    <xf numFmtId="0" fontId="2" fillId="8" borderId="1" xfId="0" applyFont="1" applyFill="1" applyBorder="1" applyAlignment="1">
      <alignment horizontal="left" wrapText="1"/>
    </xf>
    <xf numFmtId="165" fontId="3" fillId="5" borderId="1" xfId="1" applyFont="1" applyFill="1" applyBorder="1" applyAlignment="1">
      <alignment horizontal="center" vertical="center" wrapText="1"/>
    </xf>
    <xf numFmtId="165" fontId="3" fillId="6" borderId="1" xfId="1" applyFont="1" applyFill="1" applyBorder="1" applyAlignment="1">
      <alignment horizontal="center" vertical="center" wrapText="1"/>
    </xf>
    <xf numFmtId="165" fontId="3" fillId="7" borderId="1" xfId="1" applyFont="1" applyFill="1" applyBorder="1" applyAlignment="1">
      <alignment horizontal="center" vertical="center" wrapText="1"/>
    </xf>
    <xf numFmtId="165" fontId="2" fillId="2" borderId="1" xfId="1" applyFont="1" applyFill="1" applyBorder="1" applyAlignment="1"/>
    <xf numFmtId="165" fontId="2" fillId="0" borderId="1" xfId="1" applyFont="1" applyBorder="1"/>
    <xf numFmtId="165" fontId="3" fillId="4" borderId="1" xfId="1" applyFont="1" applyFill="1" applyBorder="1" applyAlignment="1">
      <alignment horizontal="center" vertical="center" wrapText="1"/>
    </xf>
    <xf numFmtId="165" fontId="2" fillId="0" borderId="0" xfId="1" applyFont="1" applyBorder="1"/>
    <xf numFmtId="0" fontId="2" fillId="9" borderId="1" xfId="0" applyFont="1" applyFill="1" applyBorder="1" applyAlignment="1">
      <alignment wrapText="1"/>
    </xf>
    <xf numFmtId="165" fontId="2" fillId="0" borderId="1" xfId="1" applyFont="1" applyBorder="1" applyAlignment="1">
      <alignment wrapText="1"/>
    </xf>
    <xf numFmtId="165" fontId="2" fillId="3" borderId="1" xfId="1" applyFont="1" applyFill="1" applyBorder="1"/>
    <xf numFmtId="0" fontId="2" fillId="0" borderId="0" xfId="0" applyFont="1" applyFill="1"/>
    <xf numFmtId="4" fontId="2" fillId="0" borderId="1" xfId="0" applyNumberFormat="1" applyFont="1" applyBorder="1"/>
    <xf numFmtId="3" fontId="2" fillId="0" borderId="1" xfId="0" applyNumberFormat="1" applyFont="1" applyBorder="1"/>
    <xf numFmtId="165" fontId="3" fillId="0" borderId="1" xfId="1" applyFont="1" applyBorder="1"/>
    <xf numFmtId="14" fontId="2" fillId="0" borderId="2" xfId="0" applyNumberFormat="1" applyFont="1" applyBorder="1" applyAlignment="1">
      <alignment horizontal="center" vertical="center" wrapText="1"/>
    </xf>
    <xf numFmtId="0" fontId="2" fillId="0" borderId="4" xfId="0" applyFont="1" applyFill="1" applyBorder="1"/>
    <xf numFmtId="0" fontId="2" fillId="0" borderId="5" xfId="0" applyFont="1" applyBorder="1" applyAlignment="1">
      <alignment wrapText="1"/>
    </xf>
    <xf numFmtId="0" fontId="2" fillId="0" borderId="6" xfId="0" applyFont="1" applyBorder="1" applyAlignment="1">
      <alignment wrapText="1"/>
    </xf>
    <xf numFmtId="0" fontId="2" fillId="0" borderId="7" xfId="0" applyFont="1" applyFill="1" applyBorder="1" applyAlignment="1">
      <alignment wrapText="1"/>
    </xf>
    <xf numFmtId="0" fontId="2" fillId="0" borderId="3" xfId="0" applyFont="1" applyFill="1" applyBorder="1" applyAlignment="1">
      <alignment wrapText="1"/>
    </xf>
    <xf numFmtId="0" fontId="2" fillId="0" borderId="2" xfId="0" applyFont="1" applyBorder="1"/>
    <xf numFmtId="165" fontId="0" fillId="0" borderId="0" xfId="0" applyNumberFormat="1"/>
    <xf numFmtId="0" fontId="2" fillId="0" borderId="5" xfId="0" applyFont="1" applyBorder="1" applyAlignment="1">
      <alignment vertical="center" wrapText="1"/>
    </xf>
    <xf numFmtId="0" fontId="2" fillId="0" borderId="8" xfId="0" applyFont="1" applyBorder="1" applyAlignment="1">
      <alignment vertical="center" wrapText="1"/>
    </xf>
    <xf numFmtId="0" fontId="2" fillId="2" borderId="1" xfId="0" applyFont="1" applyFill="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165" fontId="2" fillId="0" borderId="1" xfId="1" applyFont="1" applyBorder="1" applyAlignment="1">
      <alignment vertical="center" wrapText="1"/>
    </xf>
    <xf numFmtId="0" fontId="2" fillId="0" borderId="0" xfId="0" applyFont="1" applyAlignment="1">
      <alignment vertical="center" wrapText="1"/>
    </xf>
    <xf numFmtId="0" fontId="2" fillId="3" borderId="1" xfId="0" applyFont="1" applyFill="1" applyBorder="1" applyAlignment="1">
      <alignment wrapText="1"/>
    </xf>
    <xf numFmtId="0" fontId="2" fillId="0" borderId="8" xfId="0" applyFont="1" applyBorder="1" applyAlignment="1">
      <alignment wrapText="1"/>
    </xf>
    <xf numFmtId="0" fontId="2" fillId="0" borderId="5" xfId="0" applyFont="1" applyFill="1" applyBorder="1" applyAlignment="1">
      <alignment wrapText="1"/>
    </xf>
    <xf numFmtId="164" fontId="2" fillId="0" borderId="7" xfId="0" applyNumberFormat="1" applyFont="1" applyBorder="1" applyAlignment="1">
      <alignment vertical="center" wrapText="1"/>
    </xf>
    <xf numFmtId="0" fontId="2" fillId="9" borderId="0" xfId="0" applyFont="1" applyFill="1" applyAlignment="1">
      <alignment wrapText="1"/>
    </xf>
    <xf numFmtId="0" fontId="2" fillId="3" borderId="1" xfId="0" applyFont="1" applyFill="1" applyBorder="1" applyAlignment="1">
      <alignment vertical="center" wrapText="1"/>
    </xf>
    <xf numFmtId="0" fontId="2" fillId="2" borderId="1" xfId="0" applyFont="1" applyFill="1" applyBorder="1" applyAlignment="1">
      <alignment vertical="center"/>
    </xf>
    <xf numFmtId="0" fontId="2" fillId="0" borderId="1" xfId="0" applyFont="1" applyBorder="1" applyAlignment="1">
      <alignment vertical="center"/>
    </xf>
    <xf numFmtId="0" fontId="2" fillId="4" borderId="1" xfId="0" applyFont="1" applyFill="1" applyBorder="1" applyAlignment="1">
      <alignment vertical="center" wrapText="1"/>
    </xf>
    <xf numFmtId="0" fontId="2" fillId="0" borderId="9" xfId="0" applyFont="1" applyBorder="1" applyAlignment="1">
      <alignment wrapText="1"/>
    </xf>
    <xf numFmtId="0" fontId="2" fillId="0" borderId="7" xfId="0" applyFont="1" applyBorder="1" applyAlignment="1">
      <alignment wrapText="1"/>
    </xf>
    <xf numFmtId="0" fontId="2" fillId="0" borderId="9" xfId="0" applyFont="1" applyBorder="1" applyAlignment="1">
      <alignment vertical="center" wrapText="1"/>
    </xf>
    <xf numFmtId="0" fontId="2" fillId="0" borderId="7" xfId="0" applyFont="1" applyBorder="1" applyAlignment="1">
      <alignment vertical="center" wrapText="1"/>
    </xf>
    <xf numFmtId="2" fontId="2" fillId="0"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0" fillId="0" borderId="1" xfId="0" applyBorder="1"/>
    <xf numFmtId="0" fontId="2" fillId="10" borderId="1" xfId="0" applyFont="1" applyFill="1" applyBorder="1" applyAlignment="1">
      <alignment wrapText="1"/>
    </xf>
    <xf numFmtId="4" fontId="0" fillId="0" borderId="0" xfId="0" applyNumberFormat="1"/>
    <xf numFmtId="14" fontId="2" fillId="0" borderId="5" xfId="0" applyNumberFormat="1" applyFont="1" applyBorder="1" applyAlignment="1">
      <alignment horizontal="center" vertical="center" wrapText="1"/>
    </xf>
    <xf numFmtId="0" fontId="2" fillId="10" borderId="5" xfId="0" applyFont="1" applyFill="1" applyBorder="1" applyAlignment="1">
      <alignment wrapText="1"/>
    </xf>
    <xf numFmtId="0" fontId="2" fillId="0" borderId="5" xfId="0" applyFont="1" applyFill="1" applyBorder="1"/>
    <xf numFmtId="165" fontId="2" fillId="0" borderId="5" xfId="1" applyFont="1" applyBorder="1"/>
    <xf numFmtId="165" fontId="2" fillId="0" borderId="9" xfId="1" applyFont="1" applyFill="1" applyBorder="1"/>
    <xf numFmtId="0" fontId="2" fillId="11" borderId="1" xfId="0" applyFont="1" applyFill="1" applyBorder="1" applyAlignment="1">
      <alignment vertical="center" wrapText="1"/>
    </xf>
    <xf numFmtId="165" fontId="2" fillId="0" borderId="4" xfId="1" applyFont="1" applyBorder="1" applyAlignment="1">
      <alignment vertical="center"/>
    </xf>
    <xf numFmtId="0" fontId="3" fillId="0" borderId="1" xfId="0" applyFont="1" applyBorder="1" applyAlignment="1">
      <alignment vertical="center" wrapText="1"/>
    </xf>
    <xf numFmtId="0" fontId="2" fillId="11" borderId="1" xfId="0" applyFont="1" applyFill="1" applyBorder="1" applyAlignment="1">
      <alignment wrapText="1"/>
    </xf>
    <xf numFmtId="165" fontId="2" fillId="0" borderId="5" xfId="1" applyFont="1" applyBorder="1" applyAlignment="1">
      <alignment wrapText="1"/>
    </xf>
    <xf numFmtId="165" fontId="2" fillId="3" borderId="1" xfId="1" applyFont="1" applyFill="1" applyBorder="1" applyAlignment="1">
      <alignment horizontal="center"/>
    </xf>
    <xf numFmtId="165" fontId="2" fillId="0" borderId="1" xfId="1" applyFont="1" applyBorder="1" applyAlignment="1">
      <alignment horizont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wrapText="1"/>
    </xf>
    <xf numFmtId="0" fontId="8" fillId="10" borderId="1" xfId="0" applyFont="1" applyFill="1" applyBorder="1" applyAlignment="1">
      <alignment wrapText="1"/>
    </xf>
    <xf numFmtId="165" fontId="2" fillId="2" borderId="0" xfId="1" applyFont="1" applyFill="1" applyBorder="1"/>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2" fillId="9" borderId="0" xfId="0" applyFont="1" applyFill="1" applyAlignment="1">
      <alignment horizontal="center" vertical="center" wrapText="1"/>
    </xf>
    <xf numFmtId="0" fontId="2" fillId="12" borderId="0" xfId="0" applyFont="1" applyFill="1" applyAlignment="1">
      <alignment horizontal="center" vertical="center" wrapText="1"/>
    </xf>
    <xf numFmtId="0" fontId="2" fillId="13" borderId="0" xfId="0" applyFont="1" applyFill="1" applyAlignment="1">
      <alignment horizontal="center" vertical="center" wrapText="1"/>
    </xf>
    <xf numFmtId="0" fontId="2" fillId="3" borderId="0" xfId="0" applyFont="1" applyFill="1" applyAlignment="1">
      <alignment horizontal="center" vertical="center" wrapText="1"/>
    </xf>
    <xf numFmtId="0" fontId="2" fillId="0" borderId="0" xfId="0" applyFont="1" applyFill="1" applyAlignment="1">
      <alignment horizontal="center" vertical="center" wrapText="1"/>
    </xf>
    <xf numFmtId="0" fontId="3" fillId="14" borderId="5" xfId="0" applyFont="1" applyFill="1" applyBorder="1" applyAlignment="1">
      <alignment horizontal="center" vertical="center" wrapText="1"/>
    </xf>
    <xf numFmtId="1" fontId="3" fillId="14" borderId="5" xfId="0" applyNumberFormat="1" applyFont="1" applyFill="1" applyBorder="1" applyAlignment="1">
      <alignment horizontal="center" vertical="center" wrapText="1"/>
    </xf>
    <xf numFmtId="14" fontId="3" fillId="14" borderId="5" xfId="0" applyNumberFormat="1" applyFont="1" applyFill="1" applyBorder="1" applyAlignment="1">
      <alignment horizontal="center" vertical="center" wrapText="1"/>
    </xf>
    <xf numFmtId="165" fontId="3" fillId="14" borderId="5" xfId="1" applyFont="1" applyFill="1" applyBorder="1" applyAlignment="1">
      <alignment horizontal="center" vertical="center" wrapText="1"/>
    </xf>
    <xf numFmtId="0" fontId="2" fillId="14" borderId="5" xfId="0" applyFont="1" applyFill="1" applyBorder="1" applyAlignment="1">
      <alignment horizontal="center" vertical="center" wrapText="1"/>
    </xf>
    <xf numFmtId="0" fontId="7" fillId="14" borderId="1" xfId="0" applyFont="1" applyFill="1" applyBorder="1" applyAlignment="1">
      <alignment horizontal="center" vertical="center" wrapText="1"/>
    </xf>
    <xf numFmtId="14" fontId="7" fillId="14" borderId="1" xfId="0" applyNumberFormat="1" applyFont="1" applyFill="1" applyBorder="1" applyAlignment="1">
      <alignment horizontal="center" vertical="center" wrapText="1"/>
    </xf>
    <xf numFmtId="1" fontId="7" fillId="14" borderId="1" xfId="0" applyNumberFormat="1" applyFont="1" applyFill="1" applyBorder="1" applyAlignment="1">
      <alignment horizontal="center" vertical="center" wrapText="1"/>
    </xf>
    <xf numFmtId="49" fontId="7" fillId="14" borderId="1" xfId="0" applyNumberFormat="1" applyFont="1" applyFill="1" applyBorder="1" applyAlignment="1">
      <alignment horizontal="center" vertical="center" wrapText="1"/>
    </xf>
    <xf numFmtId="49" fontId="7" fillId="14" borderId="1" xfId="1" applyNumberFormat="1" applyFont="1" applyFill="1" applyBorder="1" applyAlignment="1">
      <alignment horizontal="center" vertical="center" wrapText="1"/>
    </xf>
    <xf numFmtId="2" fontId="7" fillId="14" borderId="1" xfId="0" applyNumberFormat="1" applyFont="1" applyFill="1" applyBorder="1" applyAlignment="1">
      <alignment horizontal="center" vertical="center" wrapText="1"/>
    </xf>
    <xf numFmtId="2" fontId="7" fillId="14" borderId="1" xfId="1" applyNumberFormat="1" applyFont="1" applyFill="1" applyBorder="1" applyAlignment="1">
      <alignment horizontal="center" vertical="center" wrapText="1"/>
    </xf>
    <xf numFmtId="165" fontId="7" fillId="14" borderId="1" xfId="1" applyFont="1" applyFill="1" applyBorder="1" applyAlignment="1">
      <alignment horizontal="center" vertical="center" wrapText="1"/>
    </xf>
    <xf numFmtId="14" fontId="7" fillId="14" borderId="1" xfId="1" applyNumberFormat="1" applyFont="1" applyFill="1" applyBorder="1" applyAlignment="1">
      <alignment horizontal="center" vertical="center" wrapText="1"/>
    </xf>
    <xf numFmtId="0" fontId="7" fillId="14" borderId="1" xfId="0" applyNumberFormat="1" applyFont="1" applyFill="1" applyBorder="1" applyAlignment="1">
      <alignment horizontal="center" vertical="center" wrapText="1"/>
    </xf>
    <xf numFmtId="0" fontId="12" fillId="14" borderId="1" xfId="0" quotePrefix="1" applyNumberFormat="1" applyFont="1" applyFill="1" applyBorder="1" applyAlignment="1">
      <alignment horizontal="center" vertical="center" wrapText="1"/>
    </xf>
    <xf numFmtId="49" fontId="12" fillId="14" borderId="1" xfId="0" applyNumberFormat="1" applyFont="1" applyFill="1" applyBorder="1" applyAlignment="1">
      <alignment horizontal="center" vertical="center" wrapText="1"/>
    </xf>
    <xf numFmtId="3" fontId="7" fillId="14" borderId="1" xfId="0" applyNumberFormat="1" applyFont="1" applyFill="1" applyBorder="1" applyAlignment="1">
      <alignment horizontal="center" vertical="center" wrapText="1"/>
    </xf>
    <xf numFmtId="14" fontId="7" fillId="14" borderId="1" xfId="0" applyNumberFormat="1" applyFont="1" applyFill="1" applyBorder="1" applyAlignment="1">
      <alignment horizontal="center" vertical="center"/>
    </xf>
    <xf numFmtId="2" fontId="7" fillId="14" borderId="1" xfId="0" applyNumberFormat="1" applyFont="1" applyFill="1" applyBorder="1" applyAlignment="1">
      <alignment horizontal="center" vertical="center"/>
    </xf>
    <xf numFmtId="0" fontId="7" fillId="14" borderId="1" xfId="0" applyFont="1" applyFill="1" applyBorder="1" applyAlignment="1">
      <alignment horizontal="center" vertical="center"/>
    </xf>
    <xf numFmtId="0" fontId="2" fillId="14" borderId="0" xfId="0" applyFont="1" applyFill="1" applyAlignment="1">
      <alignment horizontal="center" vertical="center" wrapText="1"/>
    </xf>
    <xf numFmtId="1" fontId="2" fillId="14" borderId="0" xfId="0" applyNumberFormat="1" applyFont="1" applyFill="1" applyAlignment="1">
      <alignment horizontal="center" vertical="center" wrapText="1"/>
    </xf>
  </cellXfs>
  <cellStyles count="4">
    <cellStyle name="Обычный" xfId="0" builtinId="0"/>
    <cellStyle name="Обычный 2" xfId="3" xr:uid="{00000000-0005-0000-0000-000001000000}"/>
    <cellStyle name="Процентный" xfId="2"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T198"/>
  <sheetViews>
    <sheetView zoomScale="68" zoomScaleNormal="68" workbookViewId="0">
      <pane xSplit="5" ySplit="3" topLeftCell="J65" activePane="bottomRight" state="frozen"/>
      <selection pane="topRight" activeCell="E1" sqref="E1"/>
      <selection pane="bottomLeft" activeCell="A4" sqref="A4"/>
      <selection pane="bottomRight" activeCell="M67" sqref="M6:M67"/>
    </sheetView>
  </sheetViews>
  <sheetFormatPr defaultColWidth="21.85546875" defaultRowHeight="12.75" outlineLevelCol="1" x14ac:dyDescent="0.2"/>
  <cols>
    <col min="1" max="1" width="13.7109375" style="28" customWidth="1"/>
    <col min="2" max="2" width="9" style="29" customWidth="1"/>
    <col min="3" max="3" width="14.7109375" style="1" customWidth="1"/>
    <col min="4" max="4" width="13.7109375" style="1" customWidth="1"/>
    <col min="5" max="5" width="31" style="18" customWidth="1"/>
    <col min="6" max="6" width="8.42578125" style="1" customWidth="1"/>
    <col min="7" max="7" width="21.85546875" style="1" hidden="1" customWidth="1"/>
    <col min="8" max="8" width="50.42578125" style="16" customWidth="1"/>
    <col min="9" max="9" width="20" style="38" customWidth="1" outlineLevel="1"/>
    <col min="10" max="13" width="21.5703125" style="38" customWidth="1" outlineLevel="1"/>
    <col min="14" max="14" width="21.85546875" style="38"/>
    <col min="15" max="17" width="21.85546875" style="38" customWidth="1"/>
    <col min="18" max="18" width="21.85546875" style="1" hidden="1" customWidth="1"/>
    <col min="19" max="19" width="67.42578125" style="75" customWidth="1"/>
    <col min="20" max="16384" width="21.85546875" style="1"/>
  </cols>
  <sheetData>
    <row r="1" spans="1:20" ht="25.5" customHeight="1" x14ac:dyDescent="0.2">
      <c r="A1" s="14" t="s">
        <v>22</v>
      </c>
      <c r="B1" s="30" t="s">
        <v>21</v>
      </c>
      <c r="C1" s="2" t="s">
        <v>23</v>
      </c>
      <c r="D1" s="2" t="s">
        <v>24</v>
      </c>
      <c r="E1" s="3" t="s">
        <v>4</v>
      </c>
      <c r="F1" s="3" t="s">
        <v>7</v>
      </c>
      <c r="G1" s="3" t="s">
        <v>0</v>
      </c>
      <c r="H1" s="40" t="s">
        <v>44</v>
      </c>
      <c r="I1" s="52" t="s">
        <v>398</v>
      </c>
      <c r="J1" s="52" t="s">
        <v>46</v>
      </c>
      <c r="K1" s="52" t="s">
        <v>47</v>
      </c>
      <c r="L1" s="52" t="s">
        <v>187</v>
      </c>
      <c r="M1" s="52" t="s">
        <v>188</v>
      </c>
      <c r="N1" s="47" t="s">
        <v>42</v>
      </c>
      <c r="O1" s="48" t="s">
        <v>43</v>
      </c>
      <c r="P1" s="48" t="s">
        <v>50</v>
      </c>
      <c r="Q1" s="49" t="s">
        <v>49</v>
      </c>
      <c r="R1" s="3" t="s">
        <v>1</v>
      </c>
      <c r="S1" s="3" t="s">
        <v>2</v>
      </c>
    </row>
    <row r="2" spans="1:20" x14ac:dyDescent="0.2">
      <c r="A2" s="27">
        <v>42860</v>
      </c>
      <c r="B2" s="31"/>
      <c r="C2" s="4">
        <v>42860</v>
      </c>
      <c r="D2" s="4">
        <f>C2</f>
        <v>42860</v>
      </c>
      <c r="E2" s="5" t="s">
        <v>3</v>
      </c>
      <c r="F2" s="5"/>
      <c r="G2" s="5"/>
      <c r="H2" s="82"/>
      <c r="I2" s="50"/>
      <c r="J2" s="50"/>
      <c r="K2" s="50"/>
      <c r="L2" s="50"/>
      <c r="M2" s="50"/>
      <c r="N2" s="50"/>
      <c r="O2" s="50"/>
      <c r="P2" s="50"/>
      <c r="Q2" s="50"/>
      <c r="R2" s="5"/>
      <c r="S2" s="71"/>
    </row>
    <row r="3" spans="1:20" x14ac:dyDescent="0.2">
      <c r="A3" s="14" t="s">
        <v>164</v>
      </c>
      <c r="B3" s="31"/>
      <c r="C3" s="4">
        <v>43291</v>
      </c>
      <c r="D3" s="4">
        <v>43301</v>
      </c>
      <c r="E3" s="5" t="s">
        <v>5</v>
      </c>
      <c r="F3" s="6"/>
      <c r="G3" s="6"/>
      <c r="H3" s="82"/>
      <c r="I3" s="7"/>
      <c r="J3" s="7"/>
      <c r="K3" s="7"/>
      <c r="L3" s="7"/>
      <c r="M3" s="7"/>
      <c r="N3" s="7"/>
      <c r="O3" s="7"/>
      <c r="P3" s="7"/>
      <c r="Q3" s="7"/>
      <c r="R3" s="6"/>
      <c r="S3" s="71"/>
    </row>
    <row r="4" spans="1:20" x14ac:dyDescent="0.2">
      <c r="A4" s="14"/>
      <c r="B4" s="31"/>
      <c r="C4" s="4">
        <v>43316</v>
      </c>
      <c r="D4" s="4">
        <f>C4</f>
        <v>43316</v>
      </c>
      <c r="E4" s="5" t="s">
        <v>6</v>
      </c>
      <c r="F4" s="6"/>
      <c r="G4" s="6"/>
      <c r="H4" s="82"/>
      <c r="I4" s="7"/>
      <c r="J4" s="7"/>
      <c r="K4" s="7"/>
      <c r="L4" s="7"/>
      <c r="M4" s="7"/>
      <c r="N4" s="7"/>
      <c r="O4" s="7"/>
      <c r="P4" s="7"/>
      <c r="Q4" s="7"/>
      <c r="R4" s="6"/>
      <c r="S4" s="71"/>
    </row>
    <row r="5" spans="1:20" ht="12" customHeight="1" x14ac:dyDescent="0.2">
      <c r="A5" s="14"/>
      <c r="B5" s="31"/>
      <c r="C5" s="4"/>
      <c r="D5" s="4"/>
      <c r="E5" s="19"/>
      <c r="F5" s="6"/>
      <c r="G5" s="6"/>
      <c r="H5" s="82"/>
      <c r="I5" s="7"/>
      <c r="J5" s="7"/>
      <c r="K5" s="7"/>
      <c r="L5" s="7"/>
      <c r="M5" s="7"/>
      <c r="N5" s="7"/>
      <c r="O5" s="7"/>
      <c r="P5" s="7"/>
      <c r="Q5" s="7"/>
      <c r="R5" s="6"/>
      <c r="S5" s="71"/>
    </row>
    <row r="6" spans="1:20" ht="27.75" customHeight="1" x14ac:dyDescent="0.2">
      <c r="A6" s="27">
        <v>43364</v>
      </c>
      <c r="B6" s="33">
        <v>9.3000000000000007</v>
      </c>
      <c r="C6" s="8">
        <f t="shared" ref="C6:C14" si="0">A6</f>
        <v>43364</v>
      </c>
      <c r="D6" s="8"/>
      <c r="E6" s="13" t="s">
        <v>9</v>
      </c>
      <c r="F6" s="9" t="s">
        <v>8</v>
      </c>
      <c r="G6" s="10">
        <f t="shared" ref="G6:G11" si="1">N6+O6</f>
        <v>4746747.9000000004</v>
      </c>
      <c r="H6" s="10"/>
      <c r="I6" s="10"/>
      <c r="J6" s="10"/>
      <c r="K6" s="10"/>
      <c r="L6" s="10"/>
      <c r="M6" s="10"/>
      <c r="N6" s="11">
        <f>4596747.9+50000</f>
        <v>4646747.9000000004</v>
      </c>
      <c r="O6" s="11">
        <v>100000</v>
      </c>
      <c r="P6" s="11">
        <f>3000000+2500000</f>
        <v>5500000</v>
      </c>
      <c r="Q6" s="11">
        <v>60354</v>
      </c>
      <c r="R6" s="12" t="e">
        <f>N6*100%/#REF!</f>
        <v>#REF!</v>
      </c>
      <c r="S6" s="45" t="s">
        <v>161</v>
      </c>
      <c r="T6" s="20"/>
    </row>
    <row r="7" spans="1:20" s="16" customFormat="1" x14ac:dyDescent="0.25">
      <c r="A7" s="27">
        <v>43364</v>
      </c>
      <c r="B7" s="33">
        <v>9.35</v>
      </c>
      <c r="C7" s="8">
        <f t="shared" si="0"/>
        <v>43364</v>
      </c>
      <c r="D7" s="8"/>
      <c r="E7" s="13" t="s">
        <v>11</v>
      </c>
      <c r="F7" s="13" t="s">
        <v>10</v>
      </c>
      <c r="G7" s="10">
        <f t="shared" si="1"/>
        <v>3489203.89</v>
      </c>
      <c r="H7" s="10"/>
      <c r="I7" s="10"/>
      <c r="J7" s="10"/>
      <c r="K7" s="10"/>
      <c r="L7" s="10"/>
      <c r="M7" s="10"/>
      <c r="N7" s="11">
        <f>3217115+242088.89</f>
        <v>3459203.89</v>
      </c>
      <c r="O7" s="11">
        <v>30000</v>
      </c>
      <c r="P7" s="11">
        <f>900000+1000000</f>
        <v>1900000</v>
      </c>
      <c r="Q7" s="11">
        <v>1000</v>
      </c>
      <c r="R7" s="15" t="e">
        <f>N7*100%/#REF!</f>
        <v>#REF!</v>
      </c>
      <c r="S7" s="45" t="s">
        <v>161</v>
      </c>
    </row>
    <row r="8" spans="1:20" ht="34.5" customHeight="1" x14ac:dyDescent="0.2">
      <c r="A8" s="27">
        <v>43364</v>
      </c>
      <c r="B8" s="33">
        <v>9.4</v>
      </c>
      <c r="C8" s="8">
        <f t="shared" si="0"/>
        <v>43364</v>
      </c>
      <c r="D8" s="8"/>
      <c r="E8" s="13" t="s">
        <v>34</v>
      </c>
      <c r="F8" s="9" t="s">
        <v>12</v>
      </c>
      <c r="G8" s="10">
        <f t="shared" si="1"/>
        <v>4905500</v>
      </c>
      <c r="H8" s="10"/>
      <c r="I8" s="10"/>
      <c r="J8" s="10"/>
      <c r="K8" s="10"/>
      <c r="L8" s="10"/>
      <c r="M8" s="10"/>
      <c r="N8" s="10">
        <f>4717500+140000</f>
        <v>4857500</v>
      </c>
      <c r="O8" s="11">
        <f>8000+40000</f>
        <v>48000</v>
      </c>
      <c r="P8" s="11">
        <v>500000</v>
      </c>
      <c r="Q8" s="11"/>
      <c r="R8" s="12" t="e">
        <f>N8*100%/#REF!</f>
        <v>#REF!</v>
      </c>
      <c r="S8" s="45" t="s">
        <v>162</v>
      </c>
    </row>
    <row r="9" spans="1:20" ht="36" customHeight="1" x14ac:dyDescent="0.2">
      <c r="A9" s="27">
        <v>43364</v>
      </c>
      <c r="B9" s="33">
        <v>9.4499999999999993</v>
      </c>
      <c r="C9" s="8">
        <f t="shared" si="0"/>
        <v>43364</v>
      </c>
      <c r="D9" s="8"/>
      <c r="E9" s="13" t="s">
        <v>14</v>
      </c>
      <c r="F9" s="9" t="s">
        <v>13</v>
      </c>
      <c r="G9" s="10">
        <f t="shared" si="1"/>
        <v>7166800</v>
      </c>
      <c r="H9" s="10"/>
      <c r="I9" s="10"/>
      <c r="J9" s="10"/>
      <c r="K9" s="10"/>
      <c r="L9" s="10"/>
      <c r="M9" s="10"/>
      <c r="N9" s="11">
        <f>7066800</f>
        <v>7066800</v>
      </c>
      <c r="O9" s="11">
        <f>100000</f>
        <v>100000</v>
      </c>
      <c r="P9" s="11">
        <f>2100000+2500000</f>
        <v>4600000</v>
      </c>
      <c r="Q9" s="11">
        <v>46800</v>
      </c>
      <c r="R9" s="12" t="e">
        <f>N9*100%/#REF!</f>
        <v>#REF!</v>
      </c>
      <c r="S9" s="45" t="s">
        <v>161</v>
      </c>
    </row>
    <row r="10" spans="1:20" ht="93" customHeight="1" x14ac:dyDescent="0.2">
      <c r="A10" s="27">
        <v>43364</v>
      </c>
      <c r="B10" s="33">
        <v>10</v>
      </c>
      <c r="C10" s="8">
        <f t="shared" si="0"/>
        <v>43364</v>
      </c>
      <c r="D10" s="8"/>
      <c r="E10" s="43" t="s">
        <v>28</v>
      </c>
      <c r="F10" s="26" t="s">
        <v>30</v>
      </c>
      <c r="G10" s="10">
        <f t="shared" si="1"/>
        <v>10000</v>
      </c>
      <c r="H10" s="39" t="s">
        <v>48</v>
      </c>
      <c r="I10" s="10"/>
      <c r="J10" s="10"/>
      <c r="K10" s="10">
        <f>4553406.8+430138.8+310472</f>
        <v>5294017.5999999996</v>
      </c>
      <c r="L10" s="10"/>
      <c r="M10" s="10"/>
      <c r="N10" s="11">
        <v>0</v>
      </c>
      <c r="O10" s="11">
        <v>10000</v>
      </c>
      <c r="P10" s="11">
        <f>1331389.87+670694</f>
        <v>2002083.87</v>
      </c>
      <c r="Q10" s="11">
        <v>30000</v>
      </c>
      <c r="R10" s="21"/>
      <c r="S10" s="45" t="s">
        <v>163</v>
      </c>
    </row>
    <row r="11" spans="1:20" ht="71.25" customHeight="1" x14ac:dyDescent="0.2">
      <c r="A11" s="27">
        <v>43364</v>
      </c>
      <c r="B11" s="33">
        <v>10.199999999999999</v>
      </c>
      <c r="C11" s="8">
        <f t="shared" si="0"/>
        <v>43364</v>
      </c>
      <c r="D11" s="8"/>
      <c r="E11" s="43" t="s">
        <v>17</v>
      </c>
      <c r="F11" s="32" t="s">
        <v>27</v>
      </c>
      <c r="G11" s="10">
        <f t="shared" si="1"/>
        <v>10000</v>
      </c>
      <c r="H11" s="10"/>
      <c r="I11" s="10"/>
      <c r="J11" s="10"/>
      <c r="K11" s="10"/>
      <c r="L11" s="10"/>
      <c r="M11" s="10"/>
      <c r="N11" s="11"/>
      <c r="O11" s="11">
        <v>10000</v>
      </c>
      <c r="P11" s="11">
        <f>890618.87+450309</f>
        <v>1340927.8700000001</v>
      </c>
      <c r="Q11" s="11">
        <v>30000</v>
      </c>
      <c r="R11" s="12" t="e">
        <f>N11*100%/#REF!</f>
        <v>#REF!</v>
      </c>
      <c r="S11" s="45" t="s">
        <v>163</v>
      </c>
    </row>
    <row r="12" spans="1:20" ht="60.75" customHeight="1" x14ac:dyDescent="0.2">
      <c r="A12" s="27">
        <v>43369</v>
      </c>
      <c r="B12" s="33">
        <v>12</v>
      </c>
      <c r="C12" s="8">
        <f t="shared" si="0"/>
        <v>43369</v>
      </c>
      <c r="D12" s="8"/>
      <c r="E12" s="46" t="s">
        <v>59</v>
      </c>
      <c r="F12" s="26" t="s">
        <v>60</v>
      </c>
      <c r="G12" s="21"/>
      <c r="H12" s="45" t="s">
        <v>169</v>
      </c>
      <c r="I12" s="51">
        <v>3061725</v>
      </c>
      <c r="J12" s="51"/>
      <c r="K12" s="51">
        <v>3061725</v>
      </c>
      <c r="L12" s="51"/>
      <c r="M12" s="51"/>
      <c r="N12" s="51"/>
      <c r="O12" s="51"/>
      <c r="P12" s="51"/>
      <c r="Q12" s="51"/>
      <c r="R12" s="21"/>
      <c r="S12" s="45" t="s">
        <v>168</v>
      </c>
    </row>
    <row r="13" spans="1:20" ht="95.25" customHeight="1" x14ac:dyDescent="0.2">
      <c r="A13" s="27">
        <v>43369</v>
      </c>
      <c r="B13" s="33">
        <v>12.1</v>
      </c>
      <c r="C13" s="8">
        <f t="shared" si="0"/>
        <v>43369</v>
      </c>
      <c r="D13" s="8"/>
      <c r="E13" s="43" t="s">
        <v>59</v>
      </c>
      <c r="F13" s="26" t="s">
        <v>58</v>
      </c>
      <c r="G13" s="21"/>
      <c r="H13" s="83"/>
      <c r="I13" s="51"/>
      <c r="J13" s="51"/>
      <c r="K13" s="51"/>
      <c r="L13" s="51"/>
      <c r="M13" s="51"/>
      <c r="N13" s="51">
        <v>3277.82</v>
      </c>
      <c r="O13" s="51">
        <f>5000</f>
        <v>5000</v>
      </c>
      <c r="P13" s="51">
        <f>400000+204138</f>
        <v>604138</v>
      </c>
      <c r="Q13" s="51"/>
      <c r="R13" s="21"/>
      <c r="S13" s="45" t="s">
        <v>167</v>
      </c>
    </row>
    <row r="14" spans="1:20" ht="63.75" customHeight="1" x14ac:dyDescent="0.2">
      <c r="A14" s="27">
        <v>43369</v>
      </c>
      <c r="B14" s="33">
        <v>12.4</v>
      </c>
      <c r="C14" s="8">
        <f t="shared" si="0"/>
        <v>43369</v>
      </c>
      <c r="D14" s="8"/>
      <c r="E14" s="43" t="s">
        <v>28</v>
      </c>
      <c r="F14" s="26" t="s">
        <v>51</v>
      </c>
      <c r="G14" s="21"/>
      <c r="H14" s="83"/>
      <c r="I14" s="51"/>
      <c r="J14" s="51"/>
      <c r="K14" s="51"/>
      <c r="L14" s="51"/>
      <c r="M14" s="51"/>
      <c r="N14" s="51"/>
      <c r="O14" s="51"/>
      <c r="P14" s="51"/>
      <c r="Q14" s="51"/>
      <c r="R14" s="21"/>
      <c r="S14" s="45" t="s">
        <v>177</v>
      </c>
    </row>
    <row r="15" spans="1:20" ht="147" customHeight="1" x14ac:dyDescent="0.2">
      <c r="A15" s="27">
        <v>43376</v>
      </c>
      <c r="B15" s="33">
        <v>14.4</v>
      </c>
      <c r="C15" s="8">
        <f t="shared" ref="C15:C29" si="2">A15</f>
        <v>43376</v>
      </c>
      <c r="D15" s="8"/>
      <c r="E15" s="17" t="s">
        <v>157</v>
      </c>
      <c r="F15" s="26" t="s">
        <v>158</v>
      </c>
      <c r="G15" s="21"/>
      <c r="H15" s="45" t="s">
        <v>181</v>
      </c>
      <c r="I15" s="51">
        <f>1001197.8+8458631.7+174000+300000</f>
        <v>9933829.5</v>
      </c>
      <c r="J15" s="51"/>
      <c r="K15" s="51">
        <v>9933829.5</v>
      </c>
      <c r="L15" s="51">
        <v>228000</v>
      </c>
      <c r="M15" s="51">
        <f>I15-L15</f>
        <v>9705829.5</v>
      </c>
      <c r="N15" s="51"/>
      <c r="O15" s="51"/>
      <c r="P15" s="51"/>
      <c r="Q15" s="51"/>
      <c r="R15" s="21"/>
      <c r="S15" s="45" t="s">
        <v>197</v>
      </c>
    </row>
    <row r="16" spans="1:20" ht="92.25" customHeight="1" x14ac:dyDescent="0.2">
      <c r="A16" s="27">
        <v>43376</v>
      </c>
      <c r="B16" s="33">
        <v>14.42</v>
      </c>
      <c r="C16" s="8">
        <f t="shared" si="2"/>
        <v>43376</v>
      </c>
      <c r="D16" s="8"/>
      <c r="E16" s="43" t="s">
        <v>153</v>
      </c>
      <c r="F16" s="26" t="s">
        <v>154</v>
      </c>
      <c r="G16" s="21"/>
      <c r="H16" s="45" t="s">
        <v>189</v>
      </c>
      <c r="I16" s="51">
        <f>4000000+2101136</f>
        <v>6101136</v>
      </c>
      <c r="J16" s="51"/>
      <c r="K16" s="51">
        <v>6101136.0099999998</v>
      </c>
      <c r="L16" s="51">
        <v>136500</v>
      </c>
      <c r="M16" s="51">
        <f>I16-L16</f>
        <v>5964636</v>
      </c>
      <c r="N16" s="51"/>
      <c r="O16" s="51"/>
      <c r="P16" s="51"/>
      <c r="Q16" s="51"/>
      <c r="R16" s="21"/>
      <c r="S16" s="45" t="s">
        <v>197</v>
      </c>
    </row>
    <row r="17" spans="1:19" ht="63" customHeight="1" x14ac:dyDescent="0.2">
      <c r="A17" s="27">
        <v>43376</v>
      </c>
      <c r="B17" s="33">
        <v>14.46</v>
      </c>
      <c r="C17" s="8">
        <f t="shared" si="2"/>
        <v>43376</v>
      </c>
      <c r="D17" s="8"/>
      <c r="E17" s="54" t="s">
        <v>159</v>
      </c>
      <c r="F17" s="26" t="s">
        <v>160</v>
      </c>
      <c r="G17" s="21"/>
      <c r="H17" s="45" t="s">
        <v>191</v>
      </c>
      <c r="I17" s="51">
        <f>61143+3941876.05+695625+73857+30000</f>
        <v>4802501.05</v>
      </c>
      <c r="J17" s="51"/>
      <c r="K17" s="51">
        <v>4772501.05</v>
      </c>
      <c r="L17" s="51">
        <v>210000</v>
      </c>
      <c r="M17" s="51">
        <f>K17-L17</f>
        <v>4562501.05</v>
      </c>
      <c r="N17" s="51"/>
      <c r="O17" s="51"/>
      <c r="P17" s="51"/>
      <c r="Q17" s="51"/>
      <c r="R17" s="21"/>
      <c r="S17" s="45" t="s">
        <v>197</v>
      </c>
    </row>
    <row r="18" spans="1:19" ht="102.75" customHeight="1" x14ac:dyDescent="0.2">
      <c r="A18" s="27">
        <v>43376</v>
      </c>
      <c r="B18" s="33">
        <v>14.5</v>
      </c>
      <c r="C18" s="8">
        <f t="shared" si="2"/>
        <v>43376</v>
      </c>
      <c r="D18" s="8"/>
      <c r="E18" s="17" t="s">
        <v>144</v>
      </c>
      <c r="F18" s="26" t="s">
        <v>145</v>
      </c>
      <c r="G18" s="21"/>
      <c r="H18" s="45" t="s">
        <v>194</v>
      </c>
      <c r="I18" s="51">
        <v>2950000</v>
      </c>
      <c r="J18" s="51"/>
      <c r="K18" s="51"/>
      <c r="L18" s="51" t="s">
        <v>193</v>
      </c>
      <c r="M18" s="51"/>
      <c r="N18" s="51"/>
      <c r="O18" s="51"/>
      <c r="P18" s="51"/>
      <c r="Q18" s="51"/>
      <c r="R18" s="21"/>
      <c r="S18" s="45" t="s">
        <v>182</v>
      </c>
    </row>
    <row r="19" spans="1:19" ht="68.25" customHeight="1" x14ac:dyDescent="0.2">
      <c r="A19" s="27">
        <v>43376</v>
      </c>
      <c r="B19" s="33">
        <v>14.52</v>
      </c>
      <c r="C19" s="8">
        <f t="shared" si="2"/>
        <v>43376</v>
      </c>
      <c r="D19" s="8"/>
      <c r="E19" s="54" t="s">
        <v>148</v>
      </c>
      <c r="F19" s="26" t="s">
        <v>149</v>
      </c>
      <c r="G19" s="21"/>
      <c r="H19" s="45" t="s">
        <v>195</v>
      </c>
      <c r="I19" s="51">
        <v>5849497</v>
      </c>
      <c r="J19" s="51"/>
      <c r="K19" s="51">
        <f>5550547+232950</f>
        <v>5783497</v>
      </c>
      <c r="L19" s="51">
        <v>178530</v>
      </c>
      <c r="M19" s="51">
        <f>I19-L19</f>
        <v>5670967</v>
      </c>
      <c r="N19" s="51"/>
      <c r="O19" s="51"/>
      <c r="P19" s="51"/>
      <c r="Q19" s="51"/>
      <c r="R19" s="21"/>
      <c r="S19" s="45" t="s">
        <v>196</v>
      </c>
    </row>
    <row r="20" spans="1:19" ht="75" customHeight="1" x14ac:dyDescent="0.2">
      <c r="A20" s="27">
        <v>43376</v>
      </c>
      <c r="B20" s="33">
        <v>14.54</v>
      </c>
      <c r="C20" s="8">
        <f t="shared" si="2"/>
        <v>43376</v>
      </c>
      <c r="D20" s="8"/>
      <c r="E20" s="17" t="s">
        <v>142</v>
      </c>
      <c r="F20" s="26" t="s">
        <v>143</v>
      </c>
      <c r="G20" s="21"/>
      <c r="H20" s="45" t="s">
        <v>198</v>
      </c>
      <c r="I20" s="51">
        <v>3506049.85</v>
      </c>
      <c r="J20" s="51"/>
      <c r="K20" s="51"/>
      <c r="L20" s="51">
        <f>(100%*5892.86/93960.8)*I20</f>
        <v>219885.96222117098</v>
      </c>
      <c r="M20" s="51">
        <f>I20-L20</f>
        <v>3286163.8877788293</v>
      </c>
      <c r="N20" s="51"/>
      <c r="O20" s="51"/>
      <c r="P20" s="51"/>
      <c r="Q20" s="51"/>
      <c r="R20" s="21"/>
      <c r="S20" s="45" t="s">
        <v>197</v>
      </c>
    </row>
    <row r="21" spans="1:19" ht="93.75" customHeight="1" x14ac:dyDescent="0.2">
      <c r="A21" s="27">
        <v>43376</v>
      </c>
      <c r="B21" s="33">
        <v>14.56</v>
      </c>
      <c r="C21" s="8">
        <f t="shared" si="2"/>
        <v>43376</v>
      </c>
      <c r="D21" s="8"/>
      <c r="E21" s="44" t="s">
        <v>146</v>
      </c>
      <c r="F21" s="26" t="s">
        <v>150</v>
      </c>
      <c r="G21" s="21"/>
      <c r="H21" s="45" t="s">
        <v>183</v>
      </c>
      <c r="I21" s="51">
        <v>4524218</v>
      </c>
      <c r="J21" s="51"/>
      <c r="K21" s="51">
        <v>4524218</v>
      </c>
      <c r="L21" s="51" t="s">
        <v>193</v>
      </c>
      <c r="M21" s="51"/>
      <c r="N21" s="51"/>
      <c r="O21" s="51">
        <v>100000</v>
      </c>
      <c r="P21" s="51">
        <v>1951446</v>
      </c>
      <c r="Q21" s="51"/>
      <c r="R21" s="21"/>
      <c r="S21" s="45" t="s">
        <v>199</v>
      </c>
    </row>
    <row r="22" spans="1:19" ht="75" customHeight="1" x14ac:dyDescent="0.2">
      <c r="A22" s="27">
        <v>43376</v>
      </c>
      <c r="B22" s="33">
        <v>15</v>
      </c>
      <c r="C22" s="8">
        <f t="shared" si="2"/>
        <v>43376</v>
      </c>
      <c r="D22" s="8"/>
      <c r="E22" s="80" t="s">
        <v>76</v>
      </c>
      <c r="F22" s="57" t="s">
        <v>75</v>
      </c>
      <c r="G22" s="21"/>
      <c r="H22" s="45" t="s">
        <v>201</v>
      </c>
      <c r="I22" s="51">
        <v>3288628.15</v>
      </c>
      <c r="J22" s="51"/>
      <c r="K22" s="51">
        <v>3288628.15</v>
      </c>
      <c r="L22" s="51">
        <f>(100%*6805.71/93960.8)*I22</f>
        <v>238199.86086470634</v>
      </c>
      <c r="M22" s="51">
        <f>I22-L22</f>
        <v>3050428.2891352936</v>
      </c>
      <c r="N22" s="51"/>
      <c r="O22" s="51"/>
      <c r="P22" s="51"/>
      <c r="Q22" s="51"/>
      <c r="R22" s="21"/>
      <c r="S22" s="45" t="s">
        <v>202</v>
      </c>
    </row>
    <row r="23" spans="1:19" ht="60" customHeight="1" x14ac:dyDescent="0.2">
      <c r="A23" s="27">
        <v>43376</v>
      </c>
      <c r="B23" s="33">
        <v>15.04</v>
      </c>
      <c r="C23" s="8">
        <f t="shared" si="2"/>
        <v>43376</v>
      </c>
      <c r="D23" s="8"/>
      <c r="E23" s="17" t="s">
        <v>74</v>
      </c>
      <c r="F23" s="26" t="s">
        <v>73</v>
      </c>
      <c r="G23" s="21"/>
      <c r="H23" s="45" t="s">
        <v>185</v>
      </c>
      <c r="I23" s="51">
        <v>2796977</v>
      </c>
      <c r="J23" s="51"/>
      <c r="K23" s="51"/>
      <c r="L23" s="51" t="s">
        <v>193</v>
      </c>
      <c r="M23" s="51"/>
      <c r="N23" s="51"/>
      <c r="O23" s="51"/>
      <c r="P23" s="51"/>
      <c r="Q23" s="51"/>
      <c r="R23" s="21"/>
      <c r="S23" s="45" t="s">
        <v>182</v>
      </c>
    </row>
    <row r="24" spans="1:19" ht="72" customHeight="1" x14ac:dyDescent="0.2">
      <c r="A24" s="27">
        <v>43376</v>
      </c>
      <c r="B24" s="33">
        <v>15.06</v>
      </c>
      <c r="C24" s="8">
        <f t="shared" si="2"/>
        <v>43376</v>
      </c>
      <c r="D24" s="8"/>
      <c r="E24" s="17" t="s">
        <v>81</v>
      </c>
      <c r="F24" s="26" t="s">
        <v>82</v>
      </c>
      <c r="G24" s="21"/>
      <c r="H24" s="45" t="s">
        <v>203</v>
      </c>
      <c r="I24" s="51">
        <f>1456766.9+500000+1908642.1</f>
        <v>3865409</v>
      </c>
      <c r="J24" s="51"/>
      <c r="K24" s="51">
        <v>3865409</v>
      </c>
      <c r="L24" s="53">
        <v>63000</v>
      </c>
      <c r="M24" s="53">
        <f>I24-L24</f>
        <v>3802409</v>
      </c>
      <c r="O24" s="51"/>
      <c r="P24" s="38">
        <v>605470.26</v>
      </c>
      <c r="Q24" s="51"/>
      <c r="R24" s="21"/>
      <c r="S24" s="45" t="s">
        <v>204</v>
      </c>
    </row>
    <row r="25" spans="1:19" ht="42.75" customHeight="1" x14ac:dyDescent="0.2">
      <c r="A25" s="27">
        <v>43376</v>
      </c>
      <c r="B25" s="33">
        <v>15.08</v>
      </c>
      <c r="C25" s="8">
        <f t="shared" si="2"/>
        <v>43376</v>
      </c>
      <c r="D25" s="8"/>
      <c r="E25" s="17" t="s">
        <v>70</v>
      </c>
      <c r="F25" s="26" t="s">
        <v>69</v>
      </c>
      <c r="G25" s="21"/>
      <c r="H25" s="45" t="s">
        <v>207</v>
      </c>
      <c r="I25" s="51">
        <v>4457260.96</v>
      </c>
      <c r="J25" s="51"/>
      <c r="K25" s="51">
        <v>4457260.96</v>
      </c>
      <c r="L25" s="51">
        <f>(100%*5844/106551.57)*I25</f>
        <v>244465.97126856036</v>
      </c>
      <c r="M25" s="51">
        <f>I25-L25</f>
        <v>4212794.9887314392</v>
      </c>
      <c r="N25" s="51"/>
      <c r="O25" s="51"/>
      <c r="P25" s="51"/>
      <c r="Q25" s="51"/>
      <c r="R25" s="21"/>
      <c r="S25" s="45" t="s">
        <v>210</v>
      </c>
    </row>
    <row r="26" spans="1:19" ht="50.25" customHeight="1" x14ac:dyDescent="0.2">
      <c r="A26" s="27">
        <v>43376</v>
      </c>
      <c r="B26" s="33">
        <v>15.1</v>
      </c>
      <c r="C26" s="8">
        <f t="shared" si="2"/>
        <v>43376</v>
      </c>
      <c r="D26" s="8"/>
      <c r="E26" s="43" t="s">
        <v>134</v>
      </c>
      <c r="F26" s="26" t="s">
        <v>135</v>
      </c>
      <c r="G26" s="21"/>
      <c r="H26" s="45" t="s">
        <v>186</v>
      </c>
      <c r="I26" s="51">
        <f>1280000+1281335.2</f>
        <v>2561335.2000000002</v>
      </c>
      <c r="J26" s="51"/>
      <c r="K26" s="51"/>
      <c r="L26" s="51" t="s">
        <v>193</v>
      </c>
      <c r="M26" s="51"/>
      <c r="N26" s="51"/>
      <c r="O26" s="51"/>
      <c r="P26" s="51"/>
      <c r="Q26" s="51"/>
      <c r="R26" s="21"/>
      <c r="S26" s="45" t="s">
        <v>182</v>
      </c>
    </row>
    <row r="27" spans="1:19" ht="105" customHeight="1" x14ac:dyDescent="0.2">
      <c r="A27" s="27">
        <v>43376</v>
      </c>
      <c r="B27" s="33">
        <v>15.14</v>
      </c>
      <c r="C27" s="8">
        <f t="shared" si="2"/>
        <v>43376</v>
      </c>
      <c r="D27" s="8"/>
      <c r="E27" s="17" t="s">
        <v>130</v>
      </c>
      <c r="F27" s="26" t="s">
        <v>131</v>
      </c>
      <c r="G27" s="21"/>
      <c r="H27" s="45" t="s">
        <v>209</v>
      </c>
      <c r="I27" s="51">
        <v>6338000</v>
      </c>
      <c r="J27" s="51"/>
      <c r="K27" s="51">
        <v>6338000</v>
      </c>
      <c r="L27" s="51" t="s">
        <v>193</v>
      </c>
      <c r="M27" s="51"/>
      <c r="N27" s="51"/>
      <c r="O27" s="51"/>
      <c r="P27" s="51"/>
      <c r="Q27" s="51"/>
      <c r="R27" s="21"/>
      <c r="S27" s="45" t="s">
        <v>182</v>
      </c>
    </row>
    <row r="28" spans="1:19" ht="73.5" customHeight="1" x14ac:dyDescent="0.2">
      <c r="A28" s="27">
        <v>43376</v>
      </c>
      <c r="B28" s="33">
        <v>15.18</v>
      </c>
      <c r="C28" s="8">
        <f t="shared" si="2"/>
        <v>43376</v>
      </c>
      <c r="D28" s="8"/>
      <c r="E28" s="17" t="s">
        <v>79</v>
      </c>
      <c r="F28" s="26" t="s">
        <v>80</v>
      </c>
      <c r="G28" s="21"/>
      <c r="H28" s="45" t="s">
        <v>213</v>
      </c>
      <c r="I28" s="51">
        <v>2475958</v>
      </c>
      <c r="J28" s="51"/>
      <c r="K28" s="51">
        <v>2475958</v>
      </c>
      <c r="L28" s="51" t="s">
        <v>193</v>
      </c>
      <c r="M28" s="51"/>
      <c r="N28" s="51"/>
      <c r="O28" s="51"/>
      <c r="P28" s="51"/>
      <c r="Q28" s="51"/>
      <c r="R28" s="21"/>
      <c r="S28" s="45" t="s">
        <v>182</v>
      </c>
    </row>
    <row r="29" spans="1:19" ht="64.5" customHeight="1" x14ac:dyDescent="0.2">
      <c r="A29" s="27">
        <v>43376</v>
      </c>
      <c r="B29" s="33">
        <v>15.2</v>
      </c>
      <c r="C29" s="8">
        <f t="shared" si="2"/>
        <v>43376</v>
      </c>
      <c r="D29" s="8"/>
      <c r="E29" s="17" t="s">
        <v>78</v>
      </c>
      <c r="F29" s="26" t="s">
        <v>77</v>
      </c>
      <c r="G29" s="21"/>
      <c r="H29" s="45" t="s">
        <v>214</v>
      </c>
      <c r="I29" s="51"/>
      <c r="J29" s="51"/>
      <c r="K29" s="51">
        <v>5669975.7400000002</v>
      </c>
      <c r="L29" s="51">
        <v>332700</v>
      </c>
      <c r="M29" s="51">
        <f>K29-L29</f>
        <v>5337275.74</v>
      </c>
      <c r="N29" s="51"/>
      <c r="O29" s="51"/>
      <c r="P29" s="51"/>
      <c r="Q29" s="51"/>
      <c r="R29" s="21"/>
      <c r="S29" s="45" t="s">
        <v>210</v>
      </c>
    </row>
    <row r="30" spans="1:19" ht="57" customHeight="1" x14ac:dyDescent="0.2">
      <c r="A30" s="27">
        <v>43376</v>
      </c>
      <c r="B30" s="33">
        <v>15.22</v>
      </c>
      <c r="C30" s="8">
        <f t="shared" ref="C30:C31" si="3">A30</f>
        <v>43376</v>
      </c>
      <c r="D30" s="8"/>
      <c r="E30" s="17" t="s">
        <v>118</v>
      </c>
      <c r="F30" s="26" t="s">
        <v>119</v>
      </c>
      <c r="G30" s="21"/>
      <c r="H30" s="45" t="s">
        <v>215</v>
      </c>
      <c r="I30" s="51">
        <v>3191846.34</v>
      </c>
      <c r="J30" s="51"/>
      <c r="K30" s="51">
        <v>3191846.34</v>
      </c>
      <c r="L30" s="51">
        <f>K30-M30</f>
        <v>261000</v>
      </c>
      <c r="M30" s="51">
        <v>2930846.34</v>
      </c>
      <c r="N30" s="51"/>
      <c r="O30" s="51"/>
      <c r="P30" s="51"/>
      <c r="Q30" s="51"/>
      <c r="R30" s="21"/>
      <c r="S30" s="45" t="s">
        <v>216</v>
      </c>
    </row>
    <row r="31" spans="1:19" ht="82.5" customHeight="1" x14ac:dyDescent="0.2">
      <c r="A31" s="27">
        <v>43376</v>
      </c>
      <c r="B31" s="33">
        <v>15.24</v>
      </c>
      <c r="C31" s="8">
        <f t="shared" si="3"/>
        <v>43376</v>
      </c>
      <c r="D31" s="8"/>
      <c r="E31" s="17" t="s">
        <v>140</v>
      </c>
      <c r="F31" s="26" t="s">
        <v>141</v>
      </c>
      <c r="G31" s="21"/>
      <c r="H31" s="45" t="s">
        <v>217</v>
      </c>
      <c r="I31" s="51">
        <v>3981852</v>
      </c>
      <c r="J31" s="51"/>
      <c r="K31" s="51">
        <v>3981852</v>
      </c>
      <c r="L31" s="51">
        <v>63000</v>
      </c>
      <c r="M31" s="51">
        <f>K31-L31</f>
        <v>3918852</v>
      </c>
      <c r="N31" s="51"/>
      <c r="O31" s="51"/>
      <c r="P31" s="51"/>
      <c r="Q31" s="51"/>
      <c r="R31" s="21"/>
      <c r="S31" s="45" t="s">
        <v>210</v>
      </c>
    </row>
    <row r="32" spans="1:19" ht="61.5" customHeight="1" x14ac:dyDescent="0.2">
      <c r="A32" s="27">
        <v>43376</v>
      </c>
      <c r="B32" s="33">
        <v>15.28</v>
      </c>
      <c r="C32" s="8">
        <f t="shared" ref="C32:C37" si="4">A32</f>
        <v>43376</v>
      </c>
      <c r="D32" s="8"/>
      <c r="E32" s="17" t="s">
        <v>68</v>
      </c>
      <c r="F32" s="26" t="s">
        <v>67</v>
      </c>
      <c r="G32" s="21"/>
      <c r="H32" s="45" t="s">
        <v>219</v>
      </c>
      <c r="I32" s="51">
        <f>1370000+3000000+2000000</f>
        <v>6370000</v>
      </c>
      <c r="J32" s="51"/>
      <c r="K32" s="51">
        <v>6370000</v>
      </c>
      <c r="L32" s="51" t="s">
        <v>193</v>
      </c>
      <c r="M32" s="51"/>
      <c r="N32" s="51"/>
      <c r="O32" s="51"/>
      <c r="P32" s="51"/>
      <c r="Q32" s="51"/>
      <c r="R32" s="21"/>
      <c r="S32" s="45" t="s">
        <v>182</v>
      </c>
    </row>
    <row r="33" spans="1:19" ht="207.75" customHeight="1" x14ac:dyDescent="0.2">
      <c r="A33" s="27">
        <v>43376</v>
      </c>
      <c r="B33" s="89">
        <v>15.32</v>
      </c>
      <c r="C33" s="8">
        <f t="shared" si="4"/>
        <v>43376</v>
      </c>
      <c r="D33" s="8"/>
      <c r="E33" s="17" t="s">
        <v>656</v>
      </c>
      <c r="F33" s="26" t="s">
        <v>657</v>
      </c>
      <c r="G33" s="21"/>
      <c r="H33" s="45" t="s">
        <v>658</v>
      </c>
      <c r="I33" s="51"/>
      <c r="J33" s="51"/>
      <c r="K33" s="51"/>
      <c r="L33" s="51"/>
      <c r="M33" s="51">
        <v>3033664.59</v>
      </c>
      <c r="N33" s="51"/>
      <c r="O33" s="51"/>
      <c r="P33" s="51"/>
      <c r="Q33" s="51"/>
      <c r="R33" s="21"/>
      <c r="S33" s="45"/>
    </row>
    <row r="34" spans="1:19" ht="61.5" customHeight="1" x14ac:dyDescent="0.2">
      <c r="A34" s="27">
        <v>43376</v>
      </c>
      <c r="B34" s="33">
        <v>15.34</v>
      </c>
      <c r="C34" s="8">
        <f t="shared" si="4"/>
        <v>43376</v>
      </c>
      <c r="D34" s="8"/>
      <c r="E34" s="17" t="s">
        <v>112</v>
      </c>
      <c r="F34" s="26" t="s">
        <v>113</v>
      </c>
      <c r="G34" s="21"/>
      <c r="H34" s="45" t="s">
        <v>221</v>
      </c>
      <c r="I34" s="51">
        <v>3750000</v>
      </c>
      <c r="J34" s="51"/>
      <c r="K34" s="51">
        <v>3750000</v>
      </c>
      <c r="L34" s="51" t="s">
        <v>193</v>
      </c>
      <c r="M34" s="51"/>
      <c r="N34" s="51"/>
      <c r="O34" s="51"/>
      <c r="P34" s="51"/>
      <c r="Q34" s="51"/>
      <c r="R34" s="21"/>
      <c r="S34" s="45" t="s">
        <v>182</v>
      </c>
    </row>
    <row r="35" spans="1:19" ht="73.5" customHeight="1" x14ac:dyDescent="0.2">
      <c r="A35" s="27">
        <v>43376</v>
      </c>
      <c r="B35" s="33">
        <v>15.4</v>
      </c>
      <c r="C35" s="8">
        <f t="shared" si="4"/>
        <v>43376</v>
      </c>
      <c r="D35" s="8"/>
      <c r="E35" s="44" t="s">
        <v>165</v>
      </c>
      <c r="F35" s="26" t="s">
        <v>166</v>
      </c>
      <c r="G35" s="21"/>
      <c r="H35" s="45" t="s">
        <v>178</v>
      </c>
      <c r="I35" s="51">
        <f>700000+2800000+11749+8400+(15*4200)+4176+4300+(2*4200)</f>
        <v>3600025</v>
      </c>
      <c r="J35" s="51"/>
      <c r="K35" s="51">
        <f>2800000+700000</f>
        <v>3500000</v>
      </c>
      <c r="L35" s="51">
        <v>100000</v>
      </c>
      <c r="M35" s="51">
        <f>K35</f>
        <v>3500000</v>
      </c>
      <c r="N35" s="51"/>
      <c r="O35" s="51">
        <f>L35</f>
        <v>100000</v>
      </c>
      <c r="P35" s="51">
        <v>557316.67000000004</v>
      </c>
      <c r="Q35" s="51"/>
      <c r="R35" s="21"/>
      <c r="S35" s="45" t="s">
        <v>252</v>
      </c>
    </row>
    <row r="36" spans="1:19" ht="70.5" customHeight="1" x14ac:dyDescent="0.2">
      <c r="A36" s="27">
        <v>43376</v>
      </c>
      <c r="B36" s="33">
        <v>15.4</v>
      </c>
      <c r="C36" s="8">
        <f t="shared" si="4"/>
        <v>43376</v>
      </c>
      <c r="D36" s="8"/>
      <c r="E36" s="17" t="s">
        <v>110</v>
      </c>
      <c r="F36" s="26" t="s">
        <v>111</v>
      </c>
      <c r="G36" s="21"/>
      <c r="H36" s="45" t="s">
        <v>224</v>
      </c>
      <c r="I36" s="51">
        <v>3263523</v>
      </c>
      <c r="J36" s="51"/>
      <c r="K36" s="51">
        <v>3263523</v>
      </c>
      <c r="L36" s="51" t="s">
        <v>193</v>
      </c>
      <c r="M36" s="51"/>
      <c r="N36" s="51"/>
      <c r="O36" s="51"/>
      <c r="P36" s="51"/>
      <c r="Q36" s="51"/>
      <c r="R36" s="21"/>
      <c r="S36" s="45" t="s">
        <v>182</v>
      </c>
    </row>
    <row r="37" spans="1:19" ht="63.75" customHeight="1" x14ac:dyDescent="0.2">
      <c r="A37" s="27">
        <v>43376</v>
      </c>
      <c r="B37" s="33">
        <v>15.42</v>
      </c>
      <c r="C37" s="8">
        <f t="shared" si="4"/>
        <v>43376</v>
      </c>
      <c r="D37" s="8"/>
      <c r="E37" s="17" t="s">
        <v>91</v>
      </c>
      <c r="F37" s="26" t="s">
        <v>92</v>
      </c>
      <c r="G37" s="21"/>
      <c r="H37" s="45" t="s">
        <v>225</v>
      </c>
      <c r="I37" s="51">
        <f>3704974+100000+4000000+429408.5</f>
        <v>8234382.5</v>
      </c>
      <c r="J37" s="51"/>
      <c r="K37" s="51">
        <v>8233000</v>
      </c>
      <c r="L37" s="51">
        <v>378000</v>
      </c>
      <c r="M37" s="51">
        <f>K37-L37</f>
        <v>7855000</v>
      </c>
      <c r="N37" s="51"/>
      <c r="O37" s="51"/>
      <c r="P37" s="51"/>
      <c r="Q37" s="51"/>
      <c r="R37" s="21"/>
      <c r="S37" s="45" t="s">
        <v>210</v>
      </c>
    </row>
    <row r="38" spans="1:19" ht="58.5" hidden="1" customHeight="1" x14ac:dyDescent="0.2">
      <c r="A38" s="27">
        <v>43376</v>
      </c>
      <c r="B38" s="33">
        <v>15.44</v>
      </c>
      <c r="C38" s="90"/>
      <c r="D38" s="8"/>
      <c r="E38" s="17" t="s">
        <v>64</v>
      </c>
      <c r="F38" s="26" t="s">
        <v>63</v>
      </c>
      <c r="G38" s="21"/>
      <c r="H38" s="45" t="s">
        <v>180</v>
      </c>
      <c r="I38" s="51">
        <v>4276503</v>
      </c>
      <c r="J38" s="51"/>
      <c r="K38" s="51">
        <v>4276503</v>
      </c>
      <c r="L38" s="51">
        <v>192720.15</v>
      </c>
      <c r="M38" s="51">
        <f>K38-L38</f>
        <v>4083782.85</v>
      </c>
      <c r="N38" s="51"/>
      <c r="O38" s="51"/>
      <c r="P38" s="51"/>
      <c r="Q38" s="51"/>
      <c r="R38" s="21"/>
      <c r="S38" s="45" t="s">
        <v>179</v>
      </c>
    </row>
    <row r="39" spans="1:19" ht="56.25" customHeight="1" x14ac:dyDescent="0.2">
      <c r="A39" s="27">
        <v>43376</v>
      </c>
      <c r="B39" s="33">
        <v>15.48</v>
      </c>
      <c r="C39" s="8">
        <f>A39</f>
        <v>43376</v>
      </c>
      <c r="D39" s="8"/>
      <c r="E39" s="17" t="s">
        <v>96</v>
      </c>
      <c r="F39" s="26" t="s">
        <v>95</v>
      </c>
      <c r="G39" s="21"/>
      <c r="H39" s="45" t="s">
        <v>418</v>
      </c>
      <c r="I39" s="51">
        <v>6100617</v>
      </c>
      <c r="J39" s="51"/>
      <c r="K39" s="51">
        <v>6100617</v>
      </c>
      <c r="L39" s="51" t="s">
        <v>193</v>
      </c>
      <c r="M39" s="51"/>
      <c r="N39" s="51"/>
      <c r="O39" s="51">
        <v>10000</v>
      </c>
      <c r="P39" s="51">
        <v>900000</v>
      </c>
      <c r="Q39" s="51"/>
      <c r="R39" s="21"/>
      <c r="S39" s="45" t="s">
        <v>231</v>
      </c>
    </row>
    <row r="40" spans="1:19" ht="84.75" customHeight="1" x14ac:dyDescent="0.2">
      <c r="A40" s="27">
        <v>43376</v>
      </c>
      <c r="B40" s="33">
        <v>15.52</v>
      </c>
      <c r="C40" s="8">
        <f>A40</f>
        <v>43376</v>
      </c>
      <c r="D40" s="8"/>
      <c r="E40" s="17" t="s">
        <v>106</v>
      </c>
      <c r="F40" s="26" t="s">
        <v>107</v>
      </c>
      <c r="G40" s="21"/>
      <c r="H40" s="45" t="s">
        <v>232</v>
      </c>
      <c r="I40" s="51">
        <f>4600000+476456.4+109861.6+94556.3+88568.7+84453.2*5+1500000</f>
        <v>7291709</v>
      </c>
      <c r="J40" s="51"/>
      <c r="K40" s="51">
        <v>7140810</v>
      </c>
      <c r="L40" s="55" t="s">
        <v>233</v>
      </c>
      <c r="M40" s="51"/>
      <c r="N40" s="51"/>
      <c r="O40" s="38">
        <v>150900</v>
      </c>
      <c r="P40" s="51"/>
      <c r="Q40" s="51"/>
      <c r="R40" s="21"/>
      <c r="S40" s="45" t="s">
        <v>234</v>
      </c>
    </row>
    <row r="41" spans="1:19" ht="75.75" customHeight="1" x14ac:dyDescent="0.2">
      <c r="A41" s="27">
        <v>43376</v>
      </c>
      <c r="B41" s="33">
        <v>15.54</v>
      </c>
      <c r="C41" s="8">
        <f>A41</f>
        <v>43376</v>
      </c>
      <c r="D41" s="8"/>
      <c r="E41" s="54" t="s">
        <v>83</v>
      </c>
      <c r="F41" s="26" t="s">
        <v>84</v>
      </c>
      <c r="G41" s="21"/>
      <c r="H41" s="45" t="s">
        <v>235</v>
      </c>
      <c r="I41" s="51">
        <f>650363.7+67200+139169.1+278338.2+139169*2+1862577.38+486806.72</f>
        <v>3762793.0999999996</v>
      </c>
      <c r="J41" s="51"/>
      <c r="K41" s="51">
        <v>3762793.3</v>
      </c>
      <c r="L41" s="51">
        <v>67200</v>
      </c>
      <c r="M41" s="51">
        <f>K41-L41</f>
        <v>3695593.3</v>
      </c>
      <c r="N41" s="51"/>
      <c r="O41" s="51"/>
      <c r="P41" s="51"/>
      <c r="Q41" s="51"/>
      <c r="R41" s="21"/>
      <c r="S41" s="45" t="s">
        <v>210</v>
      </c>
    </row>
    <row r="42" spans="1:19" ht="72" hidden="1" customHeight="1" x14ac:dyDescent="0.2">
      <c r="A42" s="27">
        <v>43376</v>
      </c>
      <c r="B42" s="33">
        <v>16</v>
      </c>
      <c r="C42" s="90"/>
      <c r="D42" s="8"/>
      <c r="E42" s="17" t="s">
        <v>124</v>
      </c>
      <c r="F42" s="26" t="s">
        <v>125</v>
      </c>
      <c r="G42" s="21"/>
      <c r="H42" s="45" t="s">
        <v>239</v>
      </c>
      <c r="I42" s="51">
        <f>100000+1740000+3860000.05</f>
        <v>5700000.0499999998</v>
      </c>
      <c r="J42" s="51"/>
      <c r="K42" s="51">
        <v>5700000.0499999998</v>
      </c>
      <c r="L42" s="51">
        <v>188700</v>
      </c>
      <c r="M42" s="51">
        <f>K42-L42</f>
        <v>5511300.0499999998</v>
      </c>
      <c r="N42" s="51"/>
      <c r="O42" s="51"/>
      <c r="P42" s="51"/>
      <c r="Q42" s="51"/>
      <c r="R42" s="21"/>
      <c r="S42" s="45" t="s">
        <v>210</v>
      </c>
    </row>
    <row r="43" spans="1:19" ht="66" customHeight="1" x14ac:dyDescent="0.2">
      <c r="A43" s="27">
        <v>43376</v>
      </c>
      <c r="B43" s="33">
        <v>16.02</v>
      </c>
      <c r="C43" s="8">
        <f>A43</f>
        <v>43376</v>
      </c>
      <c r="D43" s="8"/>
      <c r="E43" s="54" t="s">
        <v>126</v>
      </c>
      <c r="F43" s="26" t="s">
        <v>127</v>
      </c>
      <c r="G43" s="21"/>
      <c r="H43" s="45" t="s">
        <v>240</v>
      </c>
      <c r="I43" s="51">
        <f>299000+600000*2+1000000+211100+551000</f>
        <v>3261100</v>
      </c>
      <c r="J43" s="51"/>
      <c r="K43" s="51">
        <v>3260694.5</v>
      </c>
      <c r="L43" s="51">
        <v>211080</v>
      </c>
      <c r="M43" s="51">
        <f>K43-L43</f>
        <v>3049614.5</v>
      </c>
      <c r="N43" s="51"/>
      <c r="O43" s="51"/>
      <c r="Q43" s="51"/>
      <c r="R43" s="21"/>
      <c r="S43" s="45" t="s">
        <v>210</v>
      </c>
    </row>
    <row r="44" spans="1:19" ht="57" hidden="1" customHeight="1" x14ac:dyDescent="0.2">
      <c r="A44" s="27">
        <v>43376</v>
      </c>
      <c r="B44" s="33">
        <v>16.059999999999999</v>
      </c>
      <c r="C44" s="90"/>
      <c r="D44" s="8"/>
      <c r="E44" s="43" t="s">
        <v>122</v>
      </c>
      <c r="F44" s="26" t="s">
        <v>123</v>
      </c>
      <c r="G44" s="21"/>
      <c r="H44" s="83"/>
      <c r="I44" s="51"/>
      <c r="J44" s="51"/>
      <c r="K44" s="51"/>
      <c r="L44" s="51"/>
      <c r="M44" s="51"/>
      <c r="N44" s="51"/>
      <c r="O44" s="51"/>
      <c r="P44" s="51"/>
      <c r="Q44" s="51"/>
      <c r="R44" s="21"/>
      <c r="S44" s="45"/>
    </row>
    <row r="45" spans="1:19" ht="66" customHeight="1" x14ac:dyDescent="0.2">
      <c r="A45" s="27">
        <v>43376</v>
      </c>
      <c r="B45" s="33">
        <v>16.12</v>
      </c>
      <c r="C45" s="8">
        <f>A45</f>
        <v>43376</v>
      </c>
      <c r="D45" s="8"/>
      <c r="E45" s="54" t="s">
        <v>93</v>
      </c>
      <c r="F45" s="26" t="s">
        <v>94</v>
      </c>
      <c r="G45" s="21"/>
      <c r="H45" s="45" t="s">
        <v>245</v>
      </c>
      <c r="I45" s="51">
        <f>2691236+34271+1100000</f>
        <v>3825507</v>
      </c>
      <c r="J45" s="51"/>
      <c r="K45" s="51">
        <v>3825506.24</v>
      </c>
      <c r="L45" s="51">
        <v>63020.87</v>
      </c>
      <c r="M45" s="51">
        <f>K45-L45</f>
        <v>3762485.37</v>
      </c>
      <c r="N45" s="51"/>
      <c r="O45" s="51"/>
      <c r="P45" s="51"/>
      <c r="Q45" s="51"/>
      <c r="R45" s="21"/>
      <c r="S45" s="45" t="s">
        <v>210</v>
      </c>
    </row>
    <row r="46" spans="1:19" ht="58.5" customHeight="1" x14ac:dyDescent="0.2">
      <c r="A46" s="27">
        <v>43385</v>
      </c>
      <c r="B46" s="33">
        <v>10</v>
      </c>
      <c r="C46" s="8">
        <f t="shared" ref="C46:C67" si="5">A46</f>
        <v>43385</v>
      </c>
      <c r="D46" s="8"/>
      <c r="E46" s="17" t="s">
        <v>367</v>
      </c>
      <c r="F46" s="26" t="s">
        <v>368</v>
      </c>
      <c r="G46" s="21"/>
      <c r="H46" s="45" t="s">
        <v>369</v>
      </c>
      <c r="I46" s="51">
        <f>2904404+1244744</f>
        <v>4149148</v>
      </c>
      <c r="J46" s="51"/>
      <c r="K46" s="51">
        <v>4149148</v>
      </c>
      <c r="L46" s="51" t="s">
        <v>193</v>
      </c>
      <c r="M46" s="51"/>
      <c r="N46" s="51"/>
      <c r="O46" s="51"/>
      <c r="P46" s="51"/>
      <c r="Q46" s="51"/>
      <c r="R46" s="21"/>
      <c r="S46" s="45" t="s">
        <v>182</v>
      </c>
    </row>
    <row r="47" spans="1:19" ht="68.25" customHeight="1" x14ac:dyDescent="0.2">
      <c r="A47" s="27">
        <v>43385</v>
      </c>
      <c r="B47" s="33">
        <v>10.06</v>
      </c>
      <c r="C47" s="8">
        <f t="shared" si="5"/>
        <v>43385</v>
      </c>
      <c r="D47" s="8"/>
      <c r="E47" s="17" t="s">
        <v>473</v>
      </c>
      <c r="F47" s="26" t="s">
        <v>292</v>
      </c>
      <c r="G47" s="21"/>
      <c r="H47" s="45" t="s">
        <v>492</v>
      </c>
      <c r="I47" s="51">
        <f>530784+30000+3000+27000+2000000+27981.11+1250+27000+25914.26</f>
        <v>2672929.3699999996</v>
      </c>
      <c r="J47" s="51"/>
      <c r="K47" s="51">
        <v>2790631.73</v>
      </c>
      <c r="L47" s="51" t="s">
        <v>193</v>
      </c>
      <c r="M47" s="51"/>
      <c r="N47" s="51"/>
      <c r="O47" s="51"/>
      <c r="P47" s="51"/>
      <c r="Q47" s="51"/>
      <c r="R47" s="21"/>
      <c r="S47" s="22" t="s">
        <v>477</v>
      </c>
    </row>
    <row r="48" spans="1:19" ht="72" customHeight="1" x14ac:dyDescent="0.2">
      <c r="A48" s="27">
        <v>43385</v>
      </c>
      <c r="B48" s="33">
        <v>10.06</v>
      </c>
      <c r="C48" s="8">
        <f t="shared" si="5"/>
        <v>43385</v>
      </c>
      <c r="D48" s="8"/>
      <c r="E48" s="17" t="s">
        <v>474</v>
      </c>
      <c r="F48" s="26" t="s">
        <v>475</v>
      </c>
      <c r="G48" s="21"/>
      <c r="H48" s="45" t="s">
        <v>476</v>
      </c>
      <c r="I48" s="51">
        <f>2400000+254000</f>
        <v>2654000</v>
      </c>
      <c r="J48" s="51"/>
      <c r="K48" s="51">
        <v>2653920.1</v>
      </c>
      <c r="L48" s="51" t="s">
        <v>193</v>
      </c>
      <c r="M48" s="51"/>
      <c r="N48" s="51"/>
      <c r="O48" s="51"/>
      <c r="P48" s="51"/>
      <c r="Q48" s="51"/>
      <c r="R48" s="21"/>
      <c r="S48" s="22" t="s">
        <v>478</v>
      </c>
    </row>
    <row r="49" spans="1:19" ht="81.75" customHeight="1" x14ac:dyDescent="0.2">
      <c r="A49" s="27">
        <v>43385</v>
      </c>
      <c r="B49" s="33">
        <v>10.18</v>
      </c>
      <c r="C49" s="8">
        <f t="shared" si="5"/>
        <v>43385</v>
      </c>
      <c r="D49" s="8"/>
      <c r="E49" s="17" t="s">
        <v>301</v>
      </c>
      <c r="F49" s="26" t="s">
        <v>302</v>
      </c>
      <c r="G49" s="21"/>
      <c r="H49" s="45" t="s">
        <v>371</v>
      </c>
      <c r="I49" s="51">
        <f>2400000+1500143+2557000</f>
        <v>6457143</v>
      </c>
      <c r="J49" s="51"/>
      <c r="K49" s="51">
        <v>6457143</v>
      </c>
      <c r="L49" s="51">
        <v>100800</v>
      </c>
      <c r="M49" s="51">
        <f>K49-L49</f>
        <v>6356343</v>
      </c>
      <c r="N49" s="51"/>
      <c r="O49" s="51"/>
      <c r="P49" s="51"/>
      <c r="Q49" s="51"/>
      <c r="R49" s="21"/>
      <c r="S49" s="45" t="s">
        <v>500</v>
      </c>
    </row>
    <row r="50" spans="1:19" ht="66" customHeight="1" x14ac:dyDescent="0.2">
      <c r="A50" s="27">
        <v>43385</v>
      </c>
      <c r="B50" s="33">
        <v>10.199999999999999</v>
      </c>
      <c r="C50" s="8">
        <f t="shared" si="5"/>
        <v>43385</v>
      </c>
      <c r="D50" s="8"/>
      <c r="E50" s="17" t="s">
        <v>275</v>
      </c>
      <c r="F50" s="26" t="s">
        <v>276</v>
      </c>
      <c r="G50" s="21"/>
      <c r="H50" s="45" t="s">
        <v>377</v>
      </c>
      <c r="I50" s="51">
        <f>1644636+1155364+2462200+44000*2+122400+44000*2+35000+44000*2+43000</f>
        <v>5726600</v>
      </c>
      <c r="J50" s="51"/>
      <c r="K50" s="51">
        <v>5482120</v>
      </c>
      <c r="L50" s="51">
        <v>92100</v>
      </c>
      <c r="M50" s="51">
        <f>K50-L50</f>
        <v>5390020</v>
      </c>
      <c r="N50" s="51"/>
      <c r="O50" s="51"/>
      <c r="P50" s="51"/>
      <c r="Q50" s="51"/>
      <c r="R50" s="21"/>
      <c r="S50" s="45" t="s">
        <v>375</v>
      </c>
    </row>
    <row r="51" spans="1:19" ht="56.25" customHeight="1" x14ac:dyDescent="0.2">
      <c r="A51" s="27">
        <v>43385</v>
      </c>
      <c r="B51" s="33">
        <v>10.220000000000001</v>
      </c>
      <c r="C51" s="8">
        <f t="shared" si="5"/>
        <v>43385</v>
      </c>
      <c r="D51" s="8"/>
      <c r="E51" s="17" t="s">
        <v>262</v>
      </c>
      <c r="F51" s="21" t="s">
        <v>263</v>
      </c>
      <c r="G51" s="21"/>
      <c r="H51" s="45" t="s">
        <v>376</v>
      </c>
      <c r="I51" s="51">
        <v>3432370.73</v>
      </c>
      <c r="J51" s="60">
        <f>K51-I51</f>
        <v>816911.27</v>
      </c>
      <c r="K51" s="51">
        <v>4249282</v>
      </c>
      <c r="L51" s="51" t="s">
        <v>193</v>
      </c>
      <c r="M51" s="51">
        <f>K51</f>
        <v>4249282</v>
      </c>
      <c r="N51" s="51"/>
      <c r="O51" s="51"/>
      <c r="P51" s="51"/>
      <c r="Q51" s="51"/>
      <c r="R51" s="21"/>
      <c r="S51" s="45" t="s">
        <v>378</v>
      </c>
    </row>
    <row r="52" spans="1:19" ht="47.25" customHeight="1" x14ac:dyDescent="0.2">
      <c r="A52" s="27">
        <v>43385</v>
      </c>
      <c r="B52" s="33">
        <v>10.24</v>
      </c>
      <c r="C52" s="8">
        <f t="shared" si="5"/>
        <v>43385</v>
      </c>
      <c r="D52" s="8"/>
      <c r="E52" s="17" t="s">
        <v>361</v>
      </c>
      <c r="F52" s="26" t="s">
        <v>362</v>
      </c>
      <c r="G52" s="55"/>
      <c r="H52" s="75" t="s">
        <v>383</v>
      </c>
      <c r="I52" s="51">
        <f>3000000+466904.2+941553.67+1754658+795109.84+793006.1+875705.51+481686.39+941022.74+714455.47+1178019.13+1046410+15000+466904.2+514638.2</f>
        <v>13985073.449999999</v>
      </c>
      <c r="J52" s="51"/>
      <c r="K52" s="51">
        <v>13970073.449999999</v>
      </c>
      <c r="L52" s="51">
        <v>546605.5</v>
      </c>
      <c r="M52" s="51">
        <f>K52-L52</f>
        <v>13423467.949999999</v>
      </c>
      <c r="N52" s="51"/>
      <c r="O52" s="51"/>
      <c r="P52" s="51"/>
      <c r="Q52" s="51"/>
      <c r="R52" s="21"/>
      <c r="S52" s="22" t="s">
        <v>389</v>
      </c>
    </row>
    <row r="53" spans="1:19" ht="68.25" customHeight="1" x14ac:dyDescent="0.2">
      <c r="A53" s="27">
        <v>43385</v>
      </c>
      <c r="B53" s="33">
        <v>10.54</v>
      </c>
      <c r="C53" s="8">
        <f t="shared" si="5"/>
        <v>43385</v>
      </c>
      <c r="D53" s="8"/>
      <c r="E53" s="17" t="s">
        <v>293</v>
      </c>
      <c r="F53" s="26" t="s">
        <v>294</v>
      </c>
      <c r="G53" s="21"/>
      <c r="H53" s="45" t="s">
        <v>401</v>
      </c>
      <c r="I53" s="51">
        <f>346846.15+1800000+600000+872199.2</f>
        <v>3619045.3499999996</v>
      </c>
      <c r="J53" s="51"/>
      <c r="K53" s="51">
        <v>3619045.35</v>
      </c>
      <c r="L53" s="51" t="s">
        <v>193</v>
      </c>
      <c r="M53" s="51">
        <f>K53</f>
        <v>3619045.35</v>
      </c>
      <c r="N53" s="51"/>
      <c r="O53" s="51"/>
      <c r="P53" s="51"/>
      <c r="Q53" s="51"/>
      <c r="R53" s="21"/>
      <c r="S53" s="45" t="s">
        <v>402</v>
      </c>
    </row>
    <row r="54" spans="1:19" ht="69" customHeight="1" x14ac:dyDescent="0.2">
      <c r="A54" s="27">
        <v>43385</v>
      </c>
      <c r="B54" s="33">
        <v>10.58</v>
      </c>
      <c r="C54" s="8">
        <f t="shared" si="5"/>
        <v>43385</v>
      </c>
      <c r="D54" s="8"/>
      <c r="E54" s="17" t="s">
        <v>350</v>
      </c>
      <c r="F54" s="26" t="s">
        <v>351</v>
      </c>
      <c r="G54" s="21"/>
      <c r="H54" s="45" t="s">
        <v>403</v>
      </c>
      <c r="I54" s="51"/>
      <c r="J54" s="51"/>
      <c r="K54" s="51">
        <v>5056180</v>
      </c>
      <c r="L54" s="51">
        <v>100800</v>
      </c>
      <c r="M54" s="51">
        <f>K54-L54</f>
        <v>4955380</v>
      </c>
      <c r="N54" s="51"/>
      <c r="O54" s="51"/>
      <c r="P54" s="51"/>
      <c r="Q54" s="51"/>
      <c r="R54" s="21"/>
      <c r="S54" s="45" t="s">
        <v>421</v>
      </c>
    </row>
    <row r="55" spans="1:19" ht="63.75" customHeight="1" x14ac:dyDescent="0.2">
      <c r="A55" s="27">
        <v>43385</v>
      </c>
      <c r="B55" s="33">
        <v>11</v>
      </c>
      <c r="C55" s="8">
        <f t="shared" si="5"/>
        <v>43385</v>
      </c>
      <c r="D55" s="8"/>
      <c r="E55" s="17" t="s">
        <v>297</v>
      </c>
      <c r="F55" s="26" t="s">
        <v>298</v>
      </c>
      <c r="G55" s="21"/>
      <c r="H55" s="45" t="s">
        <v>373</v>
      </c>
      <c r="I55" s="51">
        <v>3288628</v>
      </c>
      <c r="J55" s="51"/>
      <c r="K55" s="51">
        <v>3288628</v>
      </c>
      <c r="L55" s="51">
        <v>324000</v>
      </c>
      <c r="M55" s="51">
        <f>K55-L55</f>
        <v>2964628</v>
      </c>
      <c r="N55" s="51"/>
      <c r="O55" s="51"/>
      <c r="P55" s="51"/>
      <c r="Q55" s="51"/>
      <c r="R55" s="21"/>
      <c r="S55" s="45" t="s">
        <v>404</v>
      </c>
    </row>
    <row r="56" spans="1:19" ht="63.75" customHeight="1" x14ac:dyDescent="0.2">
      <c r="A56" s="27">
        <v>43385</v>
      </c>
      <c r="B56" s="33">
        <v>11.02</v>
      </c>
      <c r="C56" s="8">
        <f t="shared" si="5"/>
        <v>43385</v>
      </c>
      <c r="D56" s="8"/>
      <c r="E56" s="17" t="s">
        <v>277</v>
      </c>
      <c r="F56" s="26" t="s">
        <v>278</v>
      </c>
      <c r="G56" s="21"/>
      <c r="H56" s="45" t="s">
        <v>405</v>
      </c>
      <c r="I56" s="51">
        <v>4366086</v>
      </c>
      <c r="J56" s="51"/>
      <c r="K56" s="51">
        <v>4366086</v>
      </c>
      <c r="L56" s="51" t="s">
        <v>193</v>
      </c>
      <c r="M56" s="51">
        <f>K56</f>
        <v>4366086</v>
      </c>
      <c r="N56" s="51"/>
      <c r="O56" s="51"/>
      <c r="P56" s="51"/>
      <c r="Q56" s="51"/>
      <c r="R56" s="21"/>
      <c r="S56" s="45" t="s">
        <v>402</v>
      </c>
    </row>
    <row r="57" spans="1:19" ht="62.25" customHeight="1" x14ac:dyDescent="0.2">
      <c r="A57" s="27">
        <v>43385</v>
      </c>
      <c r="B57" s="33">
        <v>11.04</v>
      </c>
      <c r="C57" s="8">
        <f t="shared" si="5"/>
        <v>43385</v>
      </c>
      <c r="D57" s="8"/>
      <c r="E57" s="17" t="s">
        <v>346</v>
      </c>
      <c r="F57" s="26" t="s">
        <v>347</v>
      </c>
      <c r="G57" s="21"/>
      <c r="H57" s="45" t="s">
        <v>406</v>
      </c>
      <c r="I57" s="51"/>
      <c r="J57" s="51"/>
      <c r="K57" s="51">
        <v>2600000</v>
      </c>
      <c r="L57" s="51" t="s">
        <v>193</v>
      </c>
      <c r="M57" s="51">
        <f>K57</f>
        <v>2600000</v>
      </c>
      <c r="N57" s="51"/>
      <c r="O57" s="51"/>
      <c r="P57" s="51"/>
      <c r="Q57" s="51"/>
      <c r="R57" s="21"/>
      <c r="S57" s="45" t="s">
        <v>407</v>
      </c>
    </row>
    <row r="58" spans="1:19" ht="62.25" customHeight="1" x14ac:dyDescent="0.2">
      <c r="A58" s="27">
        <v>43385</v>
      </c>
      <c r="B58" s="33">
        <v>11.09</v>
      </c>
      <c r="C58" s="8">
        <f t="shared" si="5"/>
        <v>43385</v>
      </c>
      <c r="D58" s="8"/>
      <c r="E58" s="17" t="s">
        <v>52</v>
      </c>
      <c r="F58" s="26" t="s">
        <v>53</v>
      </c>
      <c r="G58" s="21"/>
      <c r="H58" s="45" t="s">
        <v>170</v>
      </c>
      <c r="I58" s="51">
        <v>5056180</v>
      </c>
      <c r="J58" s="51"/>
      <c r="K58" s="51">
        <v>5056180</v>
      </c>
      <c r="L58" s="51">
        <v>100800</v>
      </c>
      <c r="M58" s="51">
        <f>K58-L58</f>
        <v>4955380</v>
      </c>
      <c r="N58" s="51"/>
      <c r="O58" s="51">
        <v>10000</v>
      </c>
      <c r="P58" s="51">
        <f>421264.06+215632.03</f>
        <v>636896.09</v>
      </c>
      <c r="Q58" s="51"/>
      <c r="R58" s="21"/>
      <c r="S58" s="45" t="s">
        <v>171</v>
      </c>
    </row>
    <row r="59" spans="1:19" ht="72" customHeight="1" x14ac:dyDescent="0.2">
      <c r="A59" s="27">
        <v>43385</v>
      </c>
      <c r="B59" s="33">
        <v>11.12</v>
      </c>
      <c r="C59" s="8">
        <f t="shared" si="5"/>
        <v>43385</v>
      </c>
      <c r="D59" s="8"/>
      <c r="E59" s="44" t="s">
        <v>279</v>
      </c>
      <c r="F59" s="26" t="s">
        <v>280</v>
      </c>
      <c r="G59" s="21"/>
      <c r="H59" s="45" t="s">
        <v>416</v>
      </c>
      <c r="I59" s="51">
        <f>2718819.07+700000</f>
        <v>3418819.07</v>
      </c>
      <c r="J59" s="60">
        <f>K59-I59</f>
        <v>484719.61000000034</v>
      </c>
      <c r="K59" s="51">
        <v>3903538.68</v>
      </c>
      <c r="L59" s="51" t="s">
        <v>193</v>
      </c>
      <c r="M59" s="51">
        <f>K59</f>
        <v>3903538.68</v>
      </c>
      <c r="N59" s="51"/>
      <c r="O59" s="51"/>
      <c r="P59" s="51">
        <v>1692145</v>
      </c>
      <c r="Q59" s="51"/>
      <c r="R59" s="21"/>
      <c r="S59" s="45" t="s">
        <v>493</v>
      </c>
    </row>
    <row r="60" spans="1:19" ht="76.5" customHeight="1" x14ac:dyDescent="0.2">
      <c r="A60" s="27">
        <v>43385</v>
      </c>
      <c r="B60" s="33">
        <v>11.13</v>
      </c>
      <c r="C60" s="8">
        <f t="shared" si="5"/>
        <v>43385</v>
      </c>
      <c r="D60" s="8"/>
      <c r="E60" s="17" t="s">
        <v>116</v>
      </c>
      <c r="F60" s="26" t="s">
        <v>117</v>
      </c>
      <c r="G60" s="21"/>
      <c r="H60" s="45" t="s">
        <v>208</v>
      </c>
      <c r="I60" s="51">
        <f>4089999.85+1994877.15</f>
        <v>6084877</v>
      </c>
      <c r="J60" s="51"/>
      <c r="K60" s="51"/>
      <c r="L60" s="51">
        <v>180600</v>
      </c>
      <c r="M60" s="51">
        <f>I60-L60</f>
        <v>5904277</v>
      </c>
      <c r="N60" s="51">
        <v>180600</v>
      </c>
      <c r="O60" s="51"/>
      <c r="P60" s="51">
        <v>3598066.4038000004</v>
      </c>
      <c r="Q60" s="51"/>
      <c r="R60" s="21"/>
      <c r="S60" s="22" t="s">
        <v>211</v>
      </c>
    </row>
    <row r="61" spans="1:19" ht="63.75" customHeight="1" x14ac:dyDescent="0.2">
      <c r="A61" s="27">
        <v>43385</v>
      </c>
      <c r="B61" s="33">
        <v>11.3</v>
      </c>
      <c r="C61" s="8">
        <f t="shared" si="5"/>
        <v>43385</v>
      </c>
      <c r="D61" s="8"/>
      <c r="E61" s="44" t="s">
        <v>306</v>
      </c>
      <c r="F61" s="26" t="s">
        <v>307</v>
      </c>
      <c r="G61" s="21"/>
      <c r="H61" s="45" t="s">
        <v>482</v>
      </c>
      <c r="I61" s="51">
        <v>2719674</v>
      </c>
      <c r="J61" s="51"/>
      <c r="K61" s="51">
        <v>2719674</v>
      </c>
      <c r="L61" s="51" t="s">
        <v>193</v>
      </c>
      <c r="M61" s="51">
        <f>K61</f>
        <v>2719674</v>
      </c>
      <c r="N61" s="51"/>
      <c r="O61" s="51"/>
      <c r="P61" s="51"/>
      <c r="Q61" s="51"/>
      <c r="R61" s="21"/>
      <c r="S61" s="45" t="s">
        <v>441</v>
      </c>
    </row>
    <row r="62" spans="1:19" ht="66" customHeight="1" x14ac:dyDescent="0.2">
      <c r="A62" s="27">
        <v>43385</v>
      </c>
      <c r="B62" s="33">
        <v>11.32</v>
      </c>
      <c r="C62" s="8">
        <f t="shared" si="5"/>
        <v>43385</v>
      </c>
      <c r="D62" s="8"/>
      <c r="E62" s="17" t="s">
        <v>343</v>
      </c>
      <c r="F62" s="26" t="s">
        <v>344</v>
      </c>
      <c r="G62" s="21"/>
      <c r="H62" s="45" t="s">
        <v>439</v>
      </c>
      <c r="I62" s="51">
        <v>2993312.8</v>
      </c>
      <c r="J62" s="51"/>
      <c r="K62" s="51">
        <v>2993212.8</v>
      </c>
      <c r="L62" s="51" t="s">
        <v>193</v>
      </c>
      <c r="M62" s="51"/>
      <c r="N62" s="51"/>
      <c r="O62" s="51"/>
      <c r="P62" s="51"/>
      <c r="Q62" s="51"/>
      <c r="R62" s="21"/>
      <c r="S62" s="45" t="s">
        <v>441</v>
      </c>
    </row>
    <row r="63" spans="1:19" ht="72.75" customHeight="1" x14ac:dyDescent="0.2">
      <c r="A63" s="27">
        <v>43385</v>
      </c>
      <c r="B63" s="33">
        <v>11.34</v>
      </c>
      <c r="C63" s="8">
        <f t="shared" si="5"/>
        <v>43385</v>
      </c>
      <c r="D63" s="8"/>
      <c r="E63" s="17" t="s">
        <v>308</v>
      </c>
      <c r="F63" s="26" t="s">
        <v>309</v>
      </c>
      <c r="G63" s="21"/>
      <c r="H63" s="45" t="s">
        <v>440</v>
      </c>
      <c r="I63" s="51">
        <v>3019861.8</v>
      </c>
      <c r="J63" s="51"/>
      <c r="K63" s="51">
        <v>3019861.8</v>
      </c>
      <c r="L63" s="51" t="s">
        <v>193</v>
      </c>
      <c r="M63" s="51"/>
      <c r="N63" s="51"/>
      <c r="O63" s="51"/>
      <c r="P63" s="51"/>
      <c r="Q63" s="51"/>
      <c r="R63" s="21"/>
      <c r="S63" s="45"/>
    </row>
    <row r="64" spans="1:19" ht="75" customHeight="1" x14ac:dyDescent="0.2">
      <c r="A64" s="27">
        <v>43385</v>
      </c>
      <c r="B64" s="33">
        <v>12.25</v>
      </c>
      <c r="C64" s="8">
        <f t="shared" si="5"/>
        <v>43385</v>
      </c>
      <c r="D64" s="8"/>
      <c r="E64" s="17" t="s">
        <v>57</v>
      </c>
      <c r="F64" s="21" t="s">
        <v>56</v>
      </c>
      <c r="G64" s="21"/>
      <c r="H64" s="45" t="s">
        <v>173</v>
      </c>
      <c r="I64" s="51">
        <v>2181346</v>
      </c>
      <c r="J64" s="51"/>
      <c r="K64" s="51">
        <v>2181346</v>
      </c>
      <c r="L64" s="51" t="s">
        <v>193</v>
      </c>
      <c r="M64" s="51">
        <f>K64</f>
        <v>2181346</v>
      </c>
      <c r="N64" s="51"/>
      <c r="O64" s="51">
        <v>10000</v>
      </c>
      <c r="P64" s="51">
        <f>657021.42+333510.71</f>
        <v>990532.13000000012</v>
      </c>
      <c r="Q64" s="51">
        <v>25000</v>
      </c>
      <c r="R64" s="21"/>
      <c r="S64" s="45" t="s">
        <v>172</v>
      </c>
    </row>
    <row r="65" spans="1:19" ht="108" customHeight="1" x14ac:dyDescent="0.2">
      <c r="A65" s="27">
        <v>43385</v>
      </c>
      <c r="B65" s="33">
        <v>14</v>
      </c>
      <c r="C65" s="8">
        <f t="shared" si="5"/>
        <v>43385</v>
      </c>
      <c r="D65" s="8"/>
      <c r="E65" s="17" t="s">
        <v>284</v>
      </c>
      <c r="F65" s="26" t="s">
        <v>285</v>
      </c>
      <c r="G65" s="59">
        <f>O65+P65</f>
        <v>1070450</v>
      </c>
      <c r="H65" s="83"/>
      <c r="I65" s="51"/>
      <c r="J65" s="51"/>
      <c r="K65" s="51"/>
      <c r="L65" s="51"/>
      <c r="M65" s="51"/>
      <c r="N65" s="51"/>
      <c r="O65" s="51">
        <f>240000+367200+378000+267500-182250</f>
        <v>1070450</v>
      </c>
      <c r="P65" s="51"/>
      <c r="Q65" s="51"/>
      <c r="R65" s="21"/>
      <c r="S65" s="45"/>
    </row>
    <row r="66" spans="1:19" ht="83.25" customHeight="1" x14ac:dyDescent="0.2">
      <c r="A66" s="27">
        <v>43385</v>
      </c>
      <c r="B66" s="33">
        <v>14.1</v>
      </c>
      <c r="C66" s="8">
        <f t="shared" si="5"/>
        <v>43385</v>
      </c>
      <c r="D66" s="8"/>
      <c r="E66" s="44" t="s">
        <v>363</v>
      </c>
      <c r="F66" s="26" t="s">
        <v>364</v>
      </c>
      <c r="G66" s="55">
        <v>9046512.4700000007</v>
      </c>
      <c r="H66" s="83"/>
      <c r="I66" s="51"/>
      <c r="J66" s="51"/>
      <c r="K66" s="51"/>
      <c r="L66" s="51"/>
      <c r="M66" s="51"/>
      <c r="N66" s="51">
        <v>7736512.4699999997</v>
      </c>
      <c r="O66" s="51">
        <f>50000+60000</f>
        <v>110000</v>
      </c>
      <c r="P66" s="51">
        <f>800000+400000</f>
        <v>1200000</v>
      </c>
      <c r="Q66" s="51"/>
      <c r="R66" s="21"/>
      <c r="S66" s="45" t="s">
        <v>487</v>
      </c>
    </row>
    <row r="67" spans="1:19" ht="123" customHeight="1" x14ac:dyDescent="0.2">
      <c r="A67" s="27">
        <v>43385</v>
      </c>
      <c r="B67" s="33">
        <v>14.2</v>
      </c>
      <c r="C67" s="8">
        <f t="shared" si="5"/>
        <v>43385</v>
      </c>
      <c r="D67" s="8"/>
      <c r="E67" s="17" t="s">
        <v>257</v>
      </c>
      <c r="F67" s="26" t="s">
        <v>256</v>
      </c>
      <c r="G67" s="58">
        <v>1421339.53</v>
      </c>
      <c r="H67" s="83"/>
      <c r="I67" s="51"/>
      <c r="J67" s="51"/>
      <c r="K67" s="51"/>
      <c r="L67" s="51"/>
      <c r="M67" s="51"/>
      <c r="N67" s="51"/>
      <c r="O67" s="51">
        <f>1394395.53</f>
        <v>1394395.53</v>
      </c>
      <c r="P67" s="51"/>
      <c r="Q67" s="51">
        <v>26944</v>
      </c>
      <c r="R67" s="21"/>
      <c r="S67" s="45" t="s">
        <v>444</v>
      </c>
    </row>
    <row r="68" spans="1:19" ht="93.75" hidden="1" customHeight="1" x14ac:dyDescent="0.2">
      <c r="A68" s="27">
        <v>43420</v>
      </c>
      <c r="B68" s="33">
        <v>10</v>
      </c>
      <c r="C68" s="8"/>
      <c r="D68" s="8"/>
      <c r="E68" s="44" t="s">
        <v>146</v>
      </c>
      <c r="F68" s="26" t="s">
        <v>147</v>
      </c>
      <c r="G68" s="21"/>
      <c r="H68" s="84" t="s">
        <v>184</v>
      </c>
      <c r="I68" s="51">
        <f>6117475+3575782</f>
        <v>9693257</v>
      </c>
      <c r="J68" s="51"/>
      <c r="K68" s="51">
        <v>9693257</v>
      </c>
      <c r="L68" s="51">
        <v>1185000</v>
      </c>
      <c r="M68" s="51">
        <f>I68-L68</f>
        <v>8508257</v>
      </c>
      <c r="N68" s="51"/>
      <c r="O68" s="51">
        <v>100000</v>
      </c>
      <c r="P68" s="51">
        <v>4181024.85</v>
      </c>
      <c r="Q68" s="51"/>
      <c r="R68" s="21"/>
      <c r="S68" s="45" t="s">
        <v>200</v>
      </c>
    </row>
    <row r="69" spans="1:19" ht="68.25" hidden="1" customHeight="1" x14ac:dyDescent="0.2">
      <c r="A69" s="27">
        <v>43420</v>
      </c>
      <c r="B69" s="33">
        <v>10</v>
      </c>
      <c r="C69" s="8"/>
      <c r="D69" s="8"/>
      <c r="E69" s="76" t="s">
        <v>322</v>
      </c>
      <c r="F69" s="26" t="s">
        <v>323</v>
      </c>
      <c r="G69" s="58">
        <v>16441543.359999999</v>
      </c>
      <c r="H69" s="83"/>
      <c r="I69" s="51"/>
      <c r="J69" s="51"/>
      <c r="K69" s="51">
        <v>14359050.449999999</v>
      </c>
      <c r="L69" s="51">
        <v>1794000</v>
      </c>
      <c r="M69" s="51">
        <f>K69-L69</f>
        <v>12565050.449999999</v>
      </c>
      <c r="N69" s="51"/>
      <c r="O69" s="51"/>
      <c r="P69" s="51"/>
      <c r="Q69" s="51"/>
      <c r="R69" s="21"/>
      <c r="S69" s="45" t="s">
        <v>633</v>
      </c>
    </row>
    <row r="70" spans="1:19" ht="91.5" hidden="1" customHeight="1" x14ac:dyDescent="0.2">
      <c r="A70" s="27">
        <v>43420</v>
      </c>
      <c r="B70" s="33">
        <v>10</v>
      </c>
      <c r="C70" s="8"/>
      <c r="D70" s="8"/>
      <c r="E70" s="76" t="s">
        <v>524</v>
      </c>
      <c r="F70" s="26" t="s">
        <v>525</v>
      </c>
      <c r="G70" s="21"/>
      <c r="H70" s="84" t="s">
        <v>526</v>
      </c>
      <c r="I70" s="51">
        <f>1945000+3865000+2700000+524813.9+564099.8</f>
        <v>9598913.7000000011</v>
      </c>
      <c r="J70" s="51"/>
      <c r="K70" s="51">
        <v>9598913.6999999993</v>
      </c>
      <c r="L70" s="51">
        <v>1810530</v>
      </c>
      <c r="M70" s="51">
        <f>K70-L70</f>
        <v>7788383.6999999993</v>
      </c>
      <c r="N70" s="51"/>
      <c r="O70" s="51"/>
      <c r="P70" s="51"/>
      <c r="Q70" s="51"/>
      <c r="R70" s="21"/>
      <c r="S70" s="45" t="s">
        <v>634</v>
      </c>
    </row>
    <row r="71" spans="1:19" ht="88.5" hidden="1" customHeight="1" x14ac:dyDescent="0.2">
      <c r="A71" s="27">
        <v>43420</v>
      </c>
      <c r="B71" s="33">
        <v>10.050000000000001</v>
      </c>
      <c r="C71" s="8"/>
      <c r="D71" s="8"/>
      <c r="E71" s="17" t="s">
        <v>543</v>
      </c>
      <c r="F71" s="26" t="s">
        <v>542</v>
      </c>
      <c r="G71" s="21"/>
      <c r="H71" s="45" t="s">
        <v>544</v>
      </c>
      <c r="I71" s="51">
        <f>100000+5800000</f>
        <v>5900000</v>
      </c>
      <c r="J71" s="51"/>
      <c r="K71" s="51">
        <v>5900000</v>
      </c>
      <c r="L71" s="51">
        <v>159300</v>
      </c>
      <c r="M71" s="51">
        <f>K71-L71</f>
        <v>5740700</v>
      </c>
      <c r="N71" s="51"/>
      <c r="O71" s="51"/>
      <c r="P71" s="51"/>
      <c r="Q71" s="51"/>
      <c r="R71" s="21"/>
      <c r="S71" s="45" t="s">
        <v>635</v>
      </c>
    </row>
    <row r="72" spans="1:19" ht="53.25" hidden="1" customHeight="1" x14ac:dyDescent="0.2">
      <c r="A72" s="27">
        <v>43420</v>
      </c>
      <c r="B72" s="33">
        <v>10.09</v>
      </c>
      <c r="C72" s="8"/>
      <c r="D72" s="8"/>
      <c r="E72" s="17" t="s">
        <v>138</v>
      </c>
      <c r="F72" s="26" t="s">
        <v>139</v>
      </c>
      <c r="G72" s="21"/>
      <c r="H72" s="84" t="s">
        <v>212</v>
      </c>
      <c r="I72" s="51">
        <v>14899541.59</v>
      </c>
      <c r="J72" s="51"/>
      <c r="K72" s="51">
        <v>14899541.59</v>
      </c>
      <c r="L72" s="51">
        <f>(100%*51685.71/416566.92)*I72</f>
        <v>1848666.6818231244</v>
      </c>
      <c r="M72" s="51">
        <f>I72-L72</f>
        <v>13050874.908176875</v>
      </c>
      <c r="N72" s="51"/>
      <c r="O72" s="51"/>
      <c r="P72" s="51"/>
      <c r="Q72" s="51"/>
      <c r="R72" s="21"/>
      <c r="S72" s="45" t="s">
        <v>210</v>
      </c>
    </row>
    <row r="73" spans="1:19" ht="61.5" hidden="1" customHeight="1" x14ac:dyDescent="0.2">
      <c r="A73" s="27">
        <v>43420</v>
      </c>
      <c r="B73" s="33">
        <v>10.1</v>
      </c>
      <c r="C73" s="8"/>
      <c r="D73" s="8"/>
      <c r="E73" s="17" t="s">
        <v>99</v>
      </c>
      <c r="F73" s="26" t="s">
        <v>100</v>
      </c>
      <c r="G73" s="21"/>
      <c r="H73" s="84" t="s">
        <v>226</v>
      </c>
      <c r="I73" s="51">
        <v>11896469</v>
      </c>
      <c r="J73" s="51"/>
      <c r="K73" s="51">
        <v>11896469</v>
      </c>
      <c r="L73" s="51">
        <v>1793400</v>
      </c>
      <c r="M73" s="51">
        <f>K73-L73</f>
        <v>10103069</v>
      </c>
      <c r="N73" s="51"/>
      <c r="O73" s="51"/>
      <c r="P73" s="51">
        <v>6156810.2485999996</v>
      </c>
      <c r="Q73" s="51"/>
      <c r="R73" s="21"/>
      <c r="S73" s="45" t="s">
        <v>227</v>
      </c>
    </row>
    <row r="74" spans="1:19" ht="122.25" hidden="1" customHeight="1" x14ac:dyDescent="0.2">
      <c r="A74" s="27">
        <v>43420</v>
      </c>
      <c r="B74" s="33">
        <v>10.1</v>
      </c>
      <c r="C74" s="8"/>
      <c r="D74" s="8"/>
      <c r="E74" s="76" t="s">
        <v>613</v>
      </c>
      <c r="F74" s="26" t="s">
        <v>612</v>
      </c>
      <c r="G74" s="21"/>
      <c r="H74" s="45" t="s">
        <v>614</v>
      </c>
      <c r="I74" s="51"/>
      <c r="J74" s="51"/>
      <c r="K74" s="51">
        <v>5375000</v>
      </c>
      <c r="L74" s="51">
        <f>4122.86*25</f>
        <v>103071.49999999999</v>
      </c>
      <c r="M74" s="51">
        <f>K74-L74</f>
        <v>5271928.5</v>
      </c>
      <c r="N74" s="51"/>
      <c r="O74" s="51"/>
      <c r="P74" s="51"/>
      <c r="Q74" s="51"/>
      <c r="R74" s="21"/>
      <c r="S74" s="45" t="s">
        <v>636</v>
      </c>
    </row>
    <row r="75" spans="1:19" ht="99" hidden="1" customHeight="1" x14ac:dyDescent="0.2">
      <c r="A75" s="27">
        <v>43420</v>
      </c>
      <c r="B75" s="33">
        <v>10.119999999999999</v>
      </c>
      <c r="C75" s="8"/>
      <c r="D75" s="8"/>
      <c r="E75" s="54" t="s">
        <v>97</v>
      </c>
      <c r="F75" s="26" t="s">
        <v>98</v>
      </c>
      <c r="G75" s="21"/>
      <c r="H75" s="45" t="s">
        <v>228</v>
      </c>
      <c r="I75" s="51">
        <v>5040406.83</v>
      </c>
      <c r="J75" s="51"/>
      <c r="K75" s="51"/>
      <c r="L75" s="51">
        <v>285000</v>
      </c>
      <c r="M75" s="51">
        <f>I75-L75</f>
        <v>4755406.83</v>
      </c>
      <c r="N75" s="51"/>
      <c r="O75" s="51"/>
      <c r="P75" s="51"/>
      <c r="Q75" s="51"/>
      <c r="R75" s="21"/>
      <c r="S75" s="22" t="s">
        <v>229</v>
      </c>
    </row>
    <row r="76" spans="1:19" ht="65.25" hidden="1" customHeight="1" x14ac:dyDescent="0.2">
      <c r="A76" s="27">
        <v>43420</v>
      </c>
      <c r="B76" s="33">
        <v>10.15</v>
      </c>
      <c r="C76" s="8"/>
      <c r="D76" s="8"/>
      <c r="E76" s="17" t="s">
        <v>96</v>
      </c>
      <c r="F76" s="26" t="s">
        <v>101</v>
      </c>
      <c r="G76" s="21"/>
      <c r="H76" s="84" t="s">
        <v>253</v>
      </c>
      <c r="I76" s="51">
        <v>11529000</v>
      </c>
      <c r="J76" s="56">
        <f>M76-I76</f>
        <v>758000</v>
      </c>
      <c r="K76" s="51">
        <v>15029000</v>
      </c>
      <c r="L76" s="51">
        <v>2742000</v>
      </c>
      <c r="M76" s="51">
        <f>K76-L76</f>
        <v>12287000</v>
      </c>
      <c r="N76" s="51"/>
      <c r="O76" s="51"/>
      <c r="P76" s="51"/>
      <c r="Q76" s="51"/>
      <c r="R76" s="21"/>
      <c r="S76" s="45" t="s">
        <v>230</v>
      </c>
    </row>
    <row r="77" spans="1:19" ht="76.5" hidden="1" customHeight="1" x14ac:dyDescent="0.2">
      <c r="A77" s="27">
        <v>43420</v>
      </c>
      <c r="B77" s="33">
        <v>10.15</v>
      </c>
      <c r="C77" s="8"/>
      <c r="D77" s="8"/>
      <c r="E77" s="17" t="s">
        <v>537</v>
      </c>
      <c r="F77" s="26" t="s">
        <v>536</v>
      </c>
      <c r="G77" s="21"/>
      <c r="H77" s="45" t="s">
        <v>538</v>
      </c>
      <c r="I77" s="51"/>
      <c r="J77" s="51"/>
      <c r="K77" s="51">
        <v>5152800.1500000004</v>
      </c>
      <c r="L77" s="51">
        <v>213000</v>
      </c>
      <c r="M77" s="51">
        <f>K77-L77</f>
        <v>4939800.1500000004</v>
      </c>
      <c r="N77" s="51"/>
      <c r="O77" s="51"/>
      <c r="P77" s="51"/>
      <c r="Q77" s="51"/>
      <c r="R77" s="21"/>
      <c r="S77" s="45" t="s">
        <v>637</v>
      </c>
    </row>
    <row r="78" spans="1:19" ht="73.5" hidden="1" customHeight="1" x14ac:dyDescent="0.2">
      <c r="A78" s="27">
        <v>43420</v>
      </c>
      <c r="B78" s="33">
        <v>10.17</v>
      </c>
      <c r="C78" s="8"/>
      <c r="D78" s="8"/>
      <c r="E78" s="54" t="s">
        <v>88</v>
      </c>
      <c r="F78" s="26" t="s">
        <v>87</v>
      </c>
      <c r="G78" s="21"/>
      <c r="H78" s="45" t="s">
        <v>246</v>
      </c>
      <c r="I78" s="51">
        <f>140400+4065629.05</f>
        <v>4206029.05</v>
      </c>
      <c r="J78" s="51"/>
      <c r="K78" s="51">
        <v>4206029.05</v>
      </c>
      <c r="L78" s="51">
        <f>184800+140400</f>
        <v>325200</v>
      </c>
      <c r="M78" s="51">
        <f>K78-L78</f>
        <v>3880829.05</v>
      </c>
      <c r="N78" s="51"/>
      <c r="O78" s="51"/>
      <c r="P78" s="51">
        <v>1671343.71</v>
      </c>
      <c r="Q78" s="51"/>
      <c r="R78" s="21"/>
      <c r="S78" s="45" t="s">
        <v>247</v>
      </c>
    </row>
    <row r="79" spans="1:19" ht="73.5" hidden="1" customHeight="1" x14ac:dyDescent="0.2">
      <c r="A79" s="27">
        <v>43420</v>
      </c>
      <c r="B79" s="33">
        <v>10.199999999999999</v>
      </c>
      <c r="C79" s="8"/>
      <c r="D79" s="8"/>
      <c r="E79" s="17" t="s">
        <v>102</v>
      </c>
      <c r="F79" s="26" t="s">
        <v>103</v>
      </c>
      <c r="G79" s="21"/>
      <c r="H79" s="84" t="s">
        <v>248</v>
      </c>
      <c r="I79" s="51">
        <v>15420899.84</v>
      </c>
      <c r="J79" s="51"/>
      <c r="K79" s="51">
        <v>15420899.84</v>
      </c>
      <c r="L79" s="51">
        <v>1185000</v>
      </c>
      <c r="M79" s="51">
        <f>K79-L79</f>
        <v>14235899.84</v>
      </c>
      <c r="N79" s="51"/>
      <c r="O79" s="51"/>
      <c r="P79" s="51"/>
      <c r="Q79" s="51"/>
      <c r="R79" s="21"/>
      <c r="S79" s="45" t="s">
        <v>250</v>
      </c>
    </row>
    <row r="80" spans="1:19" ht="126" hidden="1" customHeight="1" x14ac:dyDescent="0.2">
      <c r="A80" s="27">
        <v>43420</v>
      </c>
      <c r="B80" s="33">
        <v>10.199999999999999</v>
      </c>
      <c r="C80" s="8"/>
      <c r="D80" s="8"/>
      <c r="E80" s="17" t="s">
        <v>510</v>
      </c>
      <c r="F80" s="26" t="s">
        <v>511</v>
      </c>
      <c r="G80" s="21"/>
      <c r="H80" s="45" t="s">
        <v>512</v>
      </c>
      <c r="I80" s="51">
        <f>212358.06+50000*9+140000+290000+1245000+325000+3000000</f>
        <v>5662358.0600000005</v>
      </c>
      <c r="J80" s="51"/>
      <c r="K80" s="51">
        <v>5561558.0599999996</v>
      </c>
      <c r="L80" s="55" t="s">
        <v>638</v>
      </c>
      <c r="M80" s="51"/>
      <c r="N80" s="51"/>
      <c r="O80" s="51"/>
      <c r="P80" s="51"/>
      <c r="Q80" s="51"/>
      <c r="R80" s="21"/>
      <c r="S80" s="45" t="s">
        <v>639</v>
      </c>
    </row>
    <row r="81" spans="1:19" ht="75" hidden="1" customHeight="1" x14ac:dyDescent="0.2">
      <c r="A81" s="27">
        <v>43420</v>
      </c>
      <c r="B81" s="33">
        <v>10.220000000000001</v>
      </c>
      <c r="C81" s="8"/>
      <c r="D81" s="8"/>
      <c r="E81" s="44" t="s">
        <v>155</v>
      </c>
      <c r="F81" s="26" t="s">
        <v>156</v>
      </c>
      <c r="G81" s="21"/>
      <c r="H81" s="45" t="s">
        <v>190</v>
      </c>
      <c r="I81" s="51">
        <f>2000000.1+190800.05+549719.8+45684.88+962080+30000+1327164+1000000+144534.5</f>
        <v>6249983.3300000001</v>
      </c>
      <c r="J81" s="51"/>
      <c r="K81" s="51">
        <v>6219983.1799999997</v>
      </c>
      <c r="L81" s="51">
        <v>190800.05</v>
      </c>
      <c r="M81" s="51">
        <f>K81-L81</f>
        <v>6029183.1299999999</v>
      </c>
      <c r="N81" s="51"/>
      <c r="O81" s="51"/>
      <c r="P81" s="51"/>
      <c r="Q81" s="51"/>
      <c r="R81" s="21"/>
      <c r="S81" s="45" t="s">
        <v>640</v>
      </c>
    </row>
    <row r="82" spans="1:19" ht="74.25" hidden="1" customHeight="1" x14ac:dyDescent="0.2">
      <c r="A82" s="27">
        <v>43420</v>
      </c>
      <c r="B82" s="33">
        <v>10.220000000000001</v>
      </c>
      <c r="C82" s="8"/>
      <c r="D82" s="8"/>
      <c r="E82" s="17" t="s">
        <v>114</v>
      </c>
      <c r="F82" s="26" t="s">
        <v>115</v>
      </c>
      <c r="G82" s="21"/>
      <c r="H82" s="45" t="s">
        <v>251</v>
      </c>
      <c r="I82" s="51">
        <f>8977.12+8300000</f>
        <v>8308977.1200000001</v>
      </c>
      <c r="J82" s="51"/>
      <c r="K82" s="51">
        <v>8308977.1200000001</v>
      </c>
      <c r="L82" s="51" t="s">
        <v>193</v>
      </c>
      <c r="M82" s="51"/>
      <c r="N82" s="51"/>
      <c r="O82" s="51"/>
      <c r="P82" s="51"/>
      <c r="Q82" s="51"/>
      <c r="R82" s="21"/>
      <c r="S82" s="45" t="s">
        <v>641</v>
      </c>
    </row>
    <row r="83" spans="1:19" ht="78" hidden="1" customHeight="1" x14ac:dyDescent="0.2">
      <c r="A83" s="27">
        <v>43420</v>
      </c>
      <c r="B83" s="33">
        <v>10.24</v>
      </c>
      <c r="C83" s="8"/>
      <c r="D83" s="8"/>
      <c r="E83" s="76" t="s">
        <v>151</v>
      </c>
      <c r="F83" s="26" t="s">
        <v>152</v>
      </c>
      <c r="G83" s="21"/>
      <c r="H83" s="45" t="s">
        <v>192</v>
      </c>
      <c r="I83" s="51">
        <f>1850558+4800000</f>
        <v>6650558</v>
      </c>
      <c r="J83" s="51"/>
      <c r="K83" s="51">
        <v>6549758</v>
      </c>
      <c r="L83" s="51" t="s">
        <v>193</v>
      </c>
      <c r="M83" s="51"/>
      <c r="N83" s="51"/>
      <c r="O83" s="51"/>
      <c r="P83" s="51"/>
      <c r="Q83" s="51"/>
      <c r="R83" s="21"/>
      <c r="S83" s="45" t="s">
        <v>182</v>
      </c>
    </row>
    <row r="84" spans="1:19" ht="108.75" hidden="1" customHeight="1" x14ac:dyDescent="0.2">
      <c r="A84" s="27">
        <v>43420</v>
      </c>
      <c r="B84" s="33">
        <v>10.25</v>
      </c>
      <c r="C84" s="8"/>
      <c r="D84" s="8"/>
      <c r="E84" s="17" t="s">
        <v>521</v>
      </c>
      <c r="F84" s="26" t="s">
        <v>522</v>
      </c>
      <c r="G84" s="21"/>
      <c r="H84" s="45" t="s">
        <v>523</v>
      </c>
      <c r="I84" s="51">
        <v>3865409</v>
      </c>
      <c r="J84" s="51"/>
      <c r="K84" s="51">
        <v>3865409</v>
      </c>
      <c r="L84" s="51">
        <v>63000</v>
      </c>
      <c r="M84" s="51">
        <f>K84-N84</f>
        <v>3865409</v>
      </c>
      <c r="N84" s="51"/>
      <c r="O84" s="51"/>
      <c r="P84" s="51"/>
      <c r="Q84" s="51"/>
      <c r="R84" s="21"/>
      <c r="S84" s="45" t="s">
        <v>642</v>
      </c>
    </row>
    <row r="85" spans="1:19" ht="60.75" hidden="1" customHeight="1" x14ac:dyDescent="0.2">
      <c r="A85" s="27">
        <v>43420</v>
      </c>
      <c r="B85" s="33">
        <v>10.26</v>
      </c>
      <c r="C85" s="8"/>
      <c r="D85" s="8"/>
      <c r="E85" s="17" t="s">
        <v>132</v>
      </c>
      <c r="F85" s="26" t="s">
        <v>133</v>
      </c>
      <c r="G85" s="21"/>
      <c r="H85" s="45" t="s">
        <v>205</v>
      </c>
      <c r="I85" s="51">
        <f>400000+184115+3300000</f>
        <v>3884115</v>
      </c>
      <c r="J85" s="51"/>
      <c r="K85" s="51">
        <v>3934115</v>
      </c>
      <c r="L85" s="51">
        <v>63000</v>
      </c>
      <c r="M85" s="51">
        <f>K85-L85</f>
        <v>3871115</v>
      </c>
      <c r="N85" s="51"/>
      <c r="O85" s="51"/>
      <c r="P85" s="51"/>
      <c r="Q85" s="51"/>
      <c r="R85" s="21"/>
      <c r="S85" s="81" t="s">
        <v>206</v>
      </c>
    </row>
    <row r="86" spans="1:19" ht="114.75" hidden="1" customHeight="1" x14ac:dyDescent="0.2">
      <c r="A86" s="27">
        <v>43420</v>
      </c>
      <c r="B86" s="33">
        <v>10.28</v>
      </c>
      <c r="C86" s="8"/>
      <c r="D86" s="8"/>
      <c r="E86" s="17" t="s">
        <v>628</v>
      </c>
      <c r="F86" s="26" t="s">
        <v>629</v>
      </c>
      <c r="G86" s="21"/>
      <c r="H86" s="45" t="s">
        <v>627</v>
      </c>
      <c r="I86" s="51">
        <f>2100000+1800000</f>
        <v>3900000</v>
      </c>
      <c r="J86" s="51"/>
      <c r="K86" s="51">
        <v>3900000</v>
      </c>
      <c r="L86" s="51" t="s">
        <v>193</v>
      </c>
      <c r="M86" s="51">
        <f>K86</f>
        <v>3900000</v>
      </c>
      <c r="N86" s="51"/>
      <c r="O86" s="51"/>
      <c r="P86" s="51"/>
      <c r="Q86" s="51"/>
      <c r="R86" s="21"/>
      <c r="S86" s="45" t="s">
        <v>643</v>
      </c>
    </row>
    <row r="87" spans="1:19" ht="112.5" hidden="1" customHeight="1" x14ac:dyDescent="0.2">
      <c r="A87" s="27">
        <v>43420</v>
      </c>
      <c r="B87" s="33">
        <v>10.28</v>
      </c>
      <c r="C87" s="8"/>
      <c r="D87" s="8"/>
      <c r="E87" s="17" t="s">
        <v>646</v>
      </c>
      <c r="F87" s="26" t="s">
        <v>644</v>
      </c>
      <c r="G87" s="21"/>
      <c r="H87" s="45" t="s">
        <v>645</v>
      </c>
      <c r="I87" s="51">
        <f>1376712+30000*2+60000+33328+489000+2510000+30000*2</f>
        <v>4589040</v>
      </c>
      <c r="J87" s="51"/>
      <c r="K87" s="51">
        <v>4589040</v>
      </c>
      <c r="L87" s="51" t="s">
        <v>193</v>
      </c>
      <c r="M87" s="51">
        <f>K87</f>
        <v>4589040</v>
      </c>
      <c r="N87" s="51"/>
      <c r="O87" s="51"/>
      <c r="P87" s="51"/>
      <c r="Q87" s="51"/>
      <c r="R87" s="21"/>
      <c r="S87" s="45" t="s">
        <v>643</v>
      </c>
    </row>
    <row r="88" spans="1:19" ht="59.25" hidden="1" customHeight="1" x14ac:dyDescent="0.2">
      <c r="A88" s="27">
        <v>43420</v>
      </c>
      <c r="B88" s="33">
        <v>10.3</v>
      </c>
      <c r="C88" s="8"/>
      <c r="D88" s="8"/>
      <c r="E88" s="17" t="s">
        <v>72</v>
      </c>
      <c r="F88" s="26" t="s">
        <v>71</v>
      </c>
      <c r="G88" s="21"/>
      <c r="H88" s="84" t="s">
        <v>220</v>
      </c>
      <c r="I88" s="51">
        <f>(360000*9)+420656.53+6502000</f>
        <v>10162656.530000001</v>
      </c>
      <c r="J88" s="51"/>
      <c r="K88" s="51">
        <v>9887388</v>
      </c>
      <c r="L88" s="51">
        <v>1215000</v>
      </c>
      <c r="M88" s="51">
        <f>K88-L88</f>
        <v>8672388</v>
      </c>
      <c r="N88" s="51"/>
      <c r="O88" s="51"/>
      <c r="P88" s="51"/>
      <c r="Q88" s="51"/>
      <c r="R88" s="21"/>
      <c r="S88" s="45" t="s">
        <v>210</v>
      </c>
    </row>
    <row r="89" spans="1:19" ht="105" hidden="1" customHeight="1" x14ac:dyDescent="0.2">
      <c r="A89" s="27">
        <v>43420</v>
      </c>
      <c r="B89" s="33">
        <v>10.3</v>
      </c>
      <c r="C89" s="8"/>
      <c r="D89" s="8"/>
      <c r="E89" s="17" t="s">
        <v>582</v>
      </c>
      <c r="F89" s="26" t="s">
        <v>581</v>
      </c>
      <c r="G89" s="21"/>
      <c r="H89" s="45" t="s">
        <v>583</v>
      </c>
      <c r="I89" s="51">
        <f>560461+3593432.85+1000000</f>
        <v>5153893.8499999996</v>
      </c>
      <c r="J89" s="51"/>
      <c r="K89" s="51">
        <v>5153893.8499999996</v>
      </c>
      <c r="L89" s="51">
        <v>77999.95</v>
      </c>
      <c r="M89" s="51">
        <f>K89-L89</f>
        <v>5075893.8999999994</v>
      </c>
      <c r="N89" s="51"/>
      <c r="O89" s="51"/>
      <c r="P89" s="51"/>
      <c r="Q89" s="51"/>
      <c r="R89" s="21"/>
      <c r="S89" s="45" t="s">
        <v>647</v>
      </c>
    </row>
    <row r="90" spans="1:19" ht="56.25" hidden="1" customHeight="1" x14ac:dyDescent="0.2">
      <c r="A90" s="27">
        <v>43420</v>
      </c>
      <c r="B90" s="33">
        <v>10.32</v>
      </c>
      <c r="C90" s="8"/>
      <c r="D90" s="8"/>
      <c r="E90" s="17" t="s">
        <v>136</v>
      </c>
      <c r="F90" s="26" t="s">
        <v>137</v>
      </c>
      <c r="G90" s="21"/>
      <c r="H90" s="84" t="s">
        <v>218</v>
      </c>
      <c r="I90" s="51">
        <v>8453385.4800000004</v>
      </c>
      <c r="J90" s="51"/>
      <c r="K90" s="51">
        <v>8453385.4800000004</v>
      </c>
      <c r="L90" s="51">
        <v>1339055.55</v>
      </c>
      <c r="M90" s="51">
        <f>K90-L90</f>
        <v>7114329.9300000006</v>
      </c>
      <c r="N90" s="51"/>
      <c r="O90" s="51"/>
      <c r="P90" s="51"/>
      <c r="Q90" s="51"/>
      <c r="R90" s="21"/>
      <c r="S90" s="22" t="s">
        <v>242</v>
      </c>
    </row>
    <row r="91" spans="1:19" ht="72" hidden="1" customHeight="1" x14ac:dyDescent="0.2">
      <c r="A91" s="27">
        <v>43420</v>
      </c>
      <c r="B91" s="33">
        <v>10.34</v>
      </c>
      <c r="C91" s="8"/>
      <c r="D91" s="8"/>
      <c r="E91" s="63" t="s">
        <v>104</v>
      </c>
      <c r="F91" s="26" t="s">
        <v>105</v>
      </c>
      <c r="G91" s="21"/>
      <c r="H91" s="84" t="s">
        <v>238</v>
      </c>
      <c r="I91" s="51">
        <v>6367830</v>
      </c>
      <c r="J91" s="51"/>
      <c r="K91" s="51">
        <v>6367830</v>
      </c>
      <c r="L91" s="51">
        <v>1200000</v>
      </c>
      <c r="M91" s="51">
        <f>K91-L91</f>
        <v>5167830</v>
      </c>
      <c r="N91" s="51"/>
      <c r="O91" s="51"/>
      <c r="P91" s="51"/>
      <c r="Q91" s="51"/>
      <c r="R91" s="21"/>
      <c r="S91" s="69" t="s">
        <v>210</v>
      </c>
    </row>
    <row r="92" spans="1:19" ht="111" hidden="1" customHeight="1" x14ac:dyDescent="0.2">
      <c r="A92" s="27">
        <v>43420</v>
      </c>
      <c r="B92" s="33">
        <v>10.35</v>
      </c>
      <c r="C92" s="8"/>
      <c r="D92" s="61"/>
      <c r="E92" s="17" t="s">
        <v>601</v>
      </c>
      <c r="F92" s="62" t="s">
        <v>600</v>
      </c>
      <c r="G92" s="21"/>
      <c r="H92" s="45" t="s">
        <v>602</v>
      </c>
      <c r="I92" s="51">
        <f>1996977+800000.7</f>
        <v>2796977.7</v>
      </c>
      <c r="J92" s="51"/>
      <c r="K92" s="51"/>
      <c r="L92" s="51"/>
      <c r="M92" s="51"/>
      <c r="N92" s="51"/>
      <c r="O92" s="51"/>
      <c r="P92" s="51"/>
      <c r="Q92" s="51"/>
      <c r="R92" s="67"/>
      <c r="S92" s="45"/>
    </row>
    <row r="93" spans="1:19" ht="91.5" hidden="1" customHeight="1" x14ac:dyDescent="0.2">
      <c r="A93" s="27">
        <v>43420</v>
      </c>
      <c r="B93" s="33">
        <v>10.36</v>
      </c>
      <c r="C93" s="8"/>
      <c r="D93" s="61"/>
      <c r="E93" s="17" t="s">
        <v>85</v>
      </c>
      <c r="F93" s="62" t="s">
        <v>86</v>
      </c>
      <c r="G93" s="21"/>
      <c r="H93" s="45" t="s">
        <v>236</v>
      </c>
      <c r="I93" s="51">
        <f>1200000+392000*7+390457.27-469048.27</f>
        <v>3865408.9999999995</v>
      </c>
      <c r="J93" s="51"/>
      <c r="K93" s="51">
        <v>3865409</v>
      </c>
      <c r="L93" s="51">
        <v>63000</v>
      </c>
      <c r="M93" s="51">
        <f>K93-L93</f>
        <v>3802409</v>
      </c>
      <c r="N93" s="51">
        <v>469048.27</v>
      </c>
      <c r="O93" s="51"/>
      <c r="P93" s="51"/>
      <c r="Q93" s="51"/>
      <c r="R93" s="67"/>
      <c r="S93" s="45" t="s">
        <v>237</v>
      </c>
    </row>
    <row r="94" spans="1:19" ht="72" hidden="1" customHeight="1" x14ac:dyDescent="0.2">
      <c r="A94" s="27">
        <v>43420</v>
      </c>
      <c r="B94" s="33">
        <v>10.38</v>
      </c>
      <c r="C94" s="8"/>
      <c r="D94" s="61"/>
      <c r="E94" s="17" t="s">
        <v>120</v>
      </c>
      <c r="F94" s="62" t="s">
        <v>121</v>
      </c>
      <c r="G94" s="21"/>
      <c r="H94" s="84" t="s">
        <v>241</v>
      </c>
      <c r="I94" s="51">
        <f>4000000+3100000+1618300+450000+150000+99000+1000+220000+200000+80000+220500+171500+343000+100000+171500+71500+50000*2</f>
        <v>11096300</v>
      </c>
      <c r="J94" s="51"/>
      <c r="K94" s="51">
        <v>11096300</v>
      </c>
      <c r="L94" s="51">
        <v>1272000</v>
      </c>
      <c r="M94" s="51">
        <f>K94-L94</f>
        <v>9824300</v>
      </c>
      <c r="N94" s="51"/>
      <c r="O94" s="51"/>
      <c r="P94" s="51"/>
      <c r="Q94" s="51"/>
      <c r="R94" s="67"/>
      <c r="S94" s="45" t="s">
        <v>210</v>
      </c>
    </row>
    <row r="95" spans="1:19" ht="72" hidden="1" customHeight="1" x14ac:dyDescent="0.2">
      <c r="A95" s="27">
        <v>43420</v>
      </c>
      <c r="B95" s="33">
        <v>10.4</v>
      </c>
      <c r="C95" s="8"/>
      <c r="D95" s="61"/>
      <c r="E95" s="44" t="s">
        <v>128</v>
      </c>
      <c r="F95" s="62" t="s">
        <v>129</v>
      </c>
      <c r="G95" s="21"/>
      <c r="H95" s="84" t="s">
        <v>249</v>
      </c>
      <c r="I95" s="51">
        <f>300000+200000+4299999.9+70000+170000+500000+1000000+50000+1426486</f>
        <v>8016485.9000000004</v>
      </c>
      <c r="J95" s="51"/>
      <c r="K95" s="51">
        <v>8016485</v>
      </c>
      <c r="L95" s="51">
        <v>1257000</v>
      </c>
      <c r="M95" s="51">
        <f>K95-L95</f>
        <v>6759485</v>
      </c>
      <c r="N95" s="51"/>
      <c r="O95" s="51"/>
      <c r="P95" s="51"/>
      <c r="Q95" s="51"/>
      <c r="R95" s="67"/>
      <c r="S95" s="45" t="s">
        <v>210</v>
      </c>
    </row>
    <row r="96" spans="1:19" ht="93" hidden="1" customHeight="1" x14ac:dyDescent="0.2">
      <c r="A96" s="27">
        <v>43420</v>
      </c>
      <c r="B96" s="33">
        <v>10.4</v>
      </c>
      <c r="C96" s="8"/>
      <c r="D96" s="61"/>
      <c r="E96" s="17" t="s">
        <v>625</v>
      </c>
      <c r="F96" s="62" t="s">
        <v>624</v>
      </c>
      <c r="G96" s="21"/>
      <c r="H96" s="45" t="s">
        <v>626</v>
      </c>
      <c r="I96" s="51">
        <f>2402599+1104549+195450.15</f>
        <v>3702598.15</v>
      </c>
      <c r="J96" s="51"/>
      <c r="K96" s="51">
        <v>3702599.95</v>
      </c>
      <c r="L96" s="51">
        <v>195450.15</v>
      </c>
      <c r="M96" s="51">
        <f>K96-L96</f>
        <v>3507149.8000000003</v>
      </c>
      <c r="N96" s="51"/>
      <c r="O96" s="51"/>
      <c r="P96" s="51"/>
      <c r="Q96" s="51"/>
      <c r="R96" s="67"/>
      <c r="S96" s="45" t="s">
        <v>649</v>
      </c>
    </row>
    <row r="97" spans="1:19" ht="96.75" hidden="1" customHeight="1" thickBot="1" x14ac:dyDescent="0.25">
      <c r="A97" s="27">
        <v>43420</v>
      </c>
      <c r="B97" s="33">
        <v>10.42</v>
      </c>
      <c r="C97" s="8"/>
      <c r="D97" s="8"/>
      <c r="E97" s="85" t="s">
        <v>90</v>
      </c>
      <c r="F97" s="26" t="s">
        <v>89</v>
      </c>
      <c r="G97" s="21"/>
      <c r="H97" s="45" t="s">
        <v>243</v>
      </c>
      <c r="I97" s="51">
        <f>50000*2+500000+4085095.1</f>
        <v>4685095.0999999996</v>
      </c>
      <c r="J97" s="51"/>
      <c r="K97" s="51">
        <v>4685095.0999999996</v>
      </c>
      <c r="L97" s="51">
        <v>268800</v>
      </c>
      <c r="M97" s="51">
        <f>K97-L97</f>
        <v>4416295.0999999996</v>
      </c>
      <c r="N97" s="51"/>
      <c r="O97" s="51"/>
      <c r="P97" s="51"/>
      <c r="Q97" s="51"/>
      <c r="R97" s="21"/>
      <c r="S97" s="87" t="s">
        <v>244</v>
      </c>
    </row>
    <row r="98" spans="1:19" ht="129.75" hidden="1" customHeight="1" x14ac:dyDescent="0.2">
      <c r="A98" s="27">
        <v>43420</v>
      </c>
      <c r="B98" s="33">
        <v>10.45</v>
      </c>
      <c r="C98" s="8"/>
      <c r="D98" s="61"/>
      <c r="E98" s="86" t="s">
        <v>650</v>
      </c>
      <c r="F98" s="62" t="s">
        <v>519</v>
      </c>
      <c r="G98" s="21"/>
      <c r="H98" s="45" t="s">
        <v>520</v>
      </c>
      <c r="I98" s="56"/>
      <c r="J98" s="51"/>
      <c r="K98" s="51">
        <v>7100000</v>
      </c>
      <c r="L98" s="55" t="s">
        <v>652</v>
      </c>
      <c r="M98" s="51">
        <f>K98</f>
        <v>7100000</v>
      </c>
      <c r="N98" s="51"/>
      <c r="O98" s="51">
        <v>1180000</v>
      </c>
      <c r="P98" s="51"/>
      <c r="Q98" s="51"/>
      <c r="R98" s="67"/>
      <c r="S98" s="88" t="s">
        <v>653</v>
      </c>
    </row>
    <row r="99" spans="1:19" ht="91.5" hidden="1" customHeight="1" thickBot="1" x14ac:dyDescent="0.25">
      <c r="A99" s="27">
        <v>43420</v>
      </c>
      <c r="B99" s="33">
        <v>10.45</v>
      </c>
      <c r="C99" s="8"/>
      <c r="D99" s="61"/>
      <c r="E99" s="77" t="s">
        <v>651</v>
      </c>
      <c r="F99" s="62" t="s">
        <v>519</v>
      </c>
      <c r="G99" s="21"/>
      <c r="H99" s="45"/>
      <c r="I99" s="51"/>
      <c r="J99" s="51"/>
      <c r="K99" s="51"/>
      <c r="L99" s="55" t="s">
        <v>652</v>
      </c>
      <c r="M99" s="51"/>
      <c r="N99" s="51"/>
      <c r="O99" s="51">
        <v>1180000</v>
      </c>
      <c r="P99" s="51"/>
      <c r="Q99" s="51"/>
      <c r="R99" s="67"/>
      <c r="S99" s="70" t="s">
        <v>654</v>
      </c>
    </row>
    <row r="100" spans="1:19" ht="108.75" hidden="1" customHeight="1" x14ac:dyDescent="0.2">
      <c r="A100" s="27">
        <v>43420</v>
      </c>
      <c r="B100" s="33">
        <v>10.5</v>
      </c>
      <c r="C100" s="8"/>
      <c r="D100" s="8"/>
      <c r="E100" s="64" t="s">
        <v>588</v>
      </c>
      <c r="F100" s="26" t="s">
        <v>587</v>
      </c>
      <c r="G100" s="21"/>
      <c r="H100" s="45" t="s">
        <v>589</v>
      </c>
      <c r="I100" s="51">
        <f>4250395.5+50000</f>
        <v>4300395.5</v>
      </c>
      <c r="J100" s="51"/>
      <c r="K100" s="51">
        <v>4300395.37</v>
      </c>
      <c r="L100" s="51" t="s">
        <v>193</v>
      </c>
      <c r="M100" s="51">
        <f>K100</f>
        <v>4300395.37</v>
      </c>
      <c r="N100" s="51"/>
      <c r="O100" s="51"/>
      <c r="P100" s="51"/>
      <c r="Q100" s="51"/>
      <c r="R100" s="21"/>
      <c r="S100" s="73" t="s">
        <v>655</v>
      </c>
    </row>
    <row r="101" spans="1:19" ht="149.25" hidden="1" customHeight="1" x14ac:dyDescent="0.2">
      <c r="A101" s="27">
        <v>43420</v>
      </c>
      <c r="B101" s="33">
        <v>10.55</v>
      </c>
      <c r="C101" s="8"/>
      <c r="D101" s="8"/>
      <c r="E101" s="17" t="s">
        <v>595</v>
      </c>
      <c r="F101" s="26" t="s">
        <v>594</v>
      </c>
      <c r="G101" s="21"/>
      <c r="H101" s="45" t="s">
        <v>596</v>
      </c>
      <c r="I101" s="51"/>
      <c r="J101" s="51"/>
      <c r="K101" s="51"/>
      <c r="L101" s="51"/>
      <c r="M101" s="51"/>
      <c r="N101" s="51"/>
      <c r="O101" s="51"/>
      <c r="P101" s="51"/>
      <c r="Q101" s="51"/>
      <c r="R101" s="21"/>
      <c r="S101" s="45"/>
    </row>
    <row r="102" spans="1:19" ht="112.5" hidden="1" customHeight="1" x14ac:dyDescent="0.2">
      <c r="A102" s="27">
        <v>43420</v>
      </c>
      <c r="B102" s="33">
        <v>11</v>
      </c>
      <c r="C102" s="8"/>
      <c r="D102" s="8"/>
      <c r="E102" s="17" t="s">
        <v>610</v>
      </c>
      <c r="F102" s="26" t="s">
        <v>609</v>
      </c>
      <c r="G102" s="21"/>
      <c r="H102" s="45" t="s">
        <v>611</v>
      </c>
      <c r="I102" s="51"/>
      <c r="J102" s="51"/>
      <c r="K102" s="51"/>
      <c r="L102" s="51"/>
      <c r="M102" s="51"/>
      <c r="N102" s="51"/>
      <c r="O102" s="51"/>
      <c r="P102" s="51"/>
      <c r="Q102" s="51"/>
      <c r="R102" s="21"/>
      <c r="S102" s="45"/>
    </row>
    <row r="103" spans="1:19" ht="101.25" hidden="1" customHeight="1" x14ac:dyDescent="0.2">
      <c r="A103" s="27">
        <v>43420</v>
      </c>
      <c r="B103" s="33">
        <v>11.05</v>
      </c>
      <c r="C103" s="8"/>
      <c r="D103" s="8"/>
      <c r="E103" s="17" t="s">
        <v>561</v>
      </c>
      <c r="F103" s="26" t="s">
        <v>560</v>
      </c>
      <c r="G103" s="21"/>
      <c r="H103" s="45" t="s">
        <v>562</v>
      </c>
      <c r="I103" s="51"/>
      <c r="J103" s="51"/>
      <c r="K103" s="51"/>
      <c r="L103" s="51"/>
      <c r="M103" s="51"/>
      <c r="N103" s="51"/>
      <c r="O103" s="51"/>
      <c r="P103" s="51"/>
      <c r="Q103" s="51"/>
      <c r="R103" s="21"/>
      <c r="S103" s="45"/>
    </row>
    <row r="104" spans="1:19" ht="73.5" hidden="1" customHeight="1" x14ac:dyDescent="0.2">
      <c r="A104" s="27">
        <v>43420</v>
      </c>
      <c r="B104" s="33">
        <v>11.1</v>
      </c>
      <c r="C104" s="8"/>
      <c r="D104" s="8"/>
      <c r="E104" s="17" t="s">
        <v>516</v>
      </c>
      <c r="F104" s="26" t="s">
        <v>517</v>
      </c>
      <c r="G104" s="21"/>
      <c r="H104" s="45" t="s">
        <v>518</v>
      </c>
      <c r="I104" s="51"/>
      <c r="J104" s="51"/>
      <c r="K104" s="51"/>
      <c r="L104" s="51"/>
      <c r="M104" s="51"/>
      <c r="N104" s="51"/>
      <c r="O104" s="51"/>
      <c r="P104" s="51"/>
      <c r="Q104" s="51"/>
      <c r="R104" s="21"/>
      <c r="S104" s="45"/>
    </row>
    <row r="105" spans="1:19" ht="75.75" hidden="1" customHeight="1" x14ac:dyDescent="0.2">
      <c r="A105" s="27">
        <v>43420</v>
      </c>
      <c r="B105" s="33">
        <v>11.15</v>
      </c>
      <c r="C105" s="8"/>
      <c r="D105" s="8"/>
      <c r="E105" s="17" t="s">
        <v>573</v>
      </c>
      <c r="F105" s="26" t="s">
        <v>572</v>
      </c>
      <c r="G105" s="21"/>
      <c r="H105" s="45" t="s">
        <v>574</v>
      </c>
      <c r="I105" s="51"/>
      <c r="J105" s="51"/>
      <c r="K105" s="51"/>
      <c r="L105" s="51"/>
      <c r="M105" s="51"/>
      <c r="N105" s="51"/>
      <c r="O105" s="51"/>
      <c r="P105" s="51"/>
      <c r="Q105" s="51"/>
      <c r="R105" s="21"/>
      <c r="S105" s="45"/>
    </row>
    <row r="106" spans="1:19" ht="114" hidden="1" customHeight="1" x14ac:dyDescent="0.2">
      <c r="A106" s="27">
        <v>43420</v>
      </c>
      <c r="B106" s="33">
        <v>11.2</v>
      </c>
      <c r="C106" s="8"/>
      <c r="D106" s="8"/>
      <c r="E106" s="17" t="s">
        <v>554</v>
      </c>
      <c r="F106" s="26" t="s">
        <v>555</v>
      </c>
      <c r="G106" s="21"/>
      <c r="H106" s="84" t="s">
        <v>556</v>
      </c>
      <c r="I106" s="51"/>
      <c r="J106" s="51"/>
      <c r="K106" s="51"/>
      <c r="L106" s="51"/>
      <c r="M106" s="51"/>
      <c r="N106" s="51"/>
      <c r="O106" s="51"/>
      <c r="P106" s="51"/>
      <c r="Q106" s="51"/>
      <c r="R106" s="21"/>
      <c r="S106" s="45"/>
    </row>
    <row r="107" spans="1:19" ht="78.75" hidden="1" customHeight="1" x14ac:dyDescent="0.2">
      <c r="A107" s="27">
        <v>43420</v>
      </c>
      <c r="B107" s="33">
        <v>11.25</v>
      </c>
      <c r="C107" s="8"/>
      <c r="D107" s="8"/>
      <c r="E107" s="17" t="s">
        <v>578</v>
      </c>
      <c r="F107" s="26" t="s">
        <v>579</v>
      </c>
      <c r="G107" s="21"/>
      <c r="H107" s="45" t="s">
        <v>580</v>
      </c>
      <c r="I107" s="51"/>
      <c r="J107" s="51"/>
      <c r="K107" s="51"/>
      <c r="L107" s="51"/>
      <c r="M107" s="51"/>
      <c r="N107" s="51"/>
      <c r="P107" s="51"/>
      <c r="Q107" s="51"/>
      <c r="R107" s="21"/>
      <c r="S107" s="45"/>
    </row>
    <row r="108" spans="1:19" ht="106.5" hidden="1" customHeight="1" x14ac:dyDescent="0.2">
      <c r="A108" s="27">
        <v>43420</v>
      </c>
      <c r="B108" s="33">
        <v>11.3</v>
      </c>
      <c r="C108" s="8"/>
      <c r="D108" s="8"/>
      <c r="E108" s="17" t="s">
        <v>527</v>
      </c>
      <c r="F108" s="26" t="s">
        <v>528</v>
      </c>
      <c r="G108" s="21"/>
      <c r="H108" s="45" t="s">
        <v>529</v>
      </c>
      <c r="I108" s="51"/>
      <c r="J108" s="51"/>
      <c r="K108" s="51"/>
      <c r="L108" s="51"/>
      <c r="M108" s="51"/>
      <c r="N108" s="51"/>
      <c r="O108" s="51"/>
      <c r="P108" s="51"/>
      <c r="Q108" s="51"/>
      <c r="R108" s="21"/>
      <c r="S108" s="45"/>
    </row>
    <row r="109" spans="1:19" ht="106.5" hidden="1" customHeight="1" x14ac:dyDescent="0.2">
      <c r="A109" s="27">
        <v>43420</v>
      </c>
      <c r="B109" s="33">
        <v>11.35</v>
      </c>
      <c r="C109" s="8"/>
      <c r="D109" s="8"/>
      <c r="E109" s="17" t="s">
        <v>546</v>
      </c>
      <c r="F109" s="26" t="s">
        <v>545</v>
      </c>
      <c r="G109" s="21"/>
      <c r="H109" s="45" t="s">
        <v>547</v>
      </c>
      <c r="I109" s="51"/>
      <c r="J109" s="51"/>
      <c r="K109" s="51"/>
      <c r="L109" s="51"/>
      <c r="M109" s="51"/>
      <c r="N109" s="51"/>
      <c r="O109" s="51"/>
      <c r="P109" s="51"/>
      <c r="Q109" s="51"/>
      <c r="R109" s="21"/>
      <c r="S109" s="45"/>
    </row>
    <row r="110" spans="1:19" ht="119.25" hidden="1" customHeight="1" x14ac:dyDescent="0.2">
      <c r="A110" s="27">
        <v>43420</v>
      </c>
      <c r="B110" s="33">
        <v>11.4</v>
      </c>
      <c r="C110" s="8"/>
      <c r="D110" s="8"/>
      <c r="E110" s="17" t="s">
        <v>549</v>
      </c>
      <c r="F110" s="26" t="s">
        <v>548</v>
      </c>
      <c r="G110" s="21"/>
      <c r="H110" s="45" t="s">
        <v>550</v>
      </c>
      <c r="I110" s="51"/>
      <c r="J110" s="51"/>
      <c r="K110" s="51"/>
      <c r="L110" s="51"/>
      <c r="M110" s="51"/>
      <c r="N110" s="51"/>
      <c r="O110" s="51"/>
      <c r="P110" s="51"/>
      <c r="Q110" s="51"/>
      <c r="R110" s="21"/>
      <c r="S110" s="45"/>
    </row>
    <row r="111" spans="1:19" ht="165" hidden="1" customHeight="1" x14ac:dyDescent="0.2">
      <c r="A111" s="27">
        <v>43420</v>
      </c>
      <c r="B111" s="33">
        <v>11.45</v>
      </c>
      <c r="C111" s="8"/>
      <c r="D111" s="8"/>
      <c r="E111" s="17" t="s">
        <v>603</v>
      </c>
      <c r="F111" s="26" t="s">
        <v>604</v>
      </c>
      <c r="G111" s="21"/>
      <c r="H111" s="45" t="s">
        <v>605</v>
      </c>
      <c r="I111" s="51"/>
      <c r="J111" s="51"/>
      <c r="K111" s="51"/>
      <c r="L111" s="51"/>
      <c r="M111" s="51"/>
      <c r="N111" s="51"/>
      <c r="O111" s="51"/>
      <c r="P111" s="51"/>
      <c r="Q111" s="51"/>
      <c r="R111" s="21"/>
      <c r="S111" s="45"/>
    </row>
    <row r="112" spans="1:19" ht="110.25" hidden="1" customHeight="1" x14ac:dyDescent="0.2">
      <c r="A112" s="27">
        <v>43420</v>
      </c>
      <c r="B112" s="33">
        <v>11.5</v>
      </c>
      <c r="C112" s="8"/>
      <c r="D112" s="8"/>
      <c r="E112" s="17" t="s">
        <v>576</v>
      </c>
      <c r="F112" s="26" t="s">
        <v>575</v>
      </c>
      <c r="G112" s="21"/>
      <c r="H112" s="84" t="s">
        <v>577</v>
      </c>
      <c r="I112" s="51"/>
      <c r="J112" s="51"/>
      <c r="K112" s="51"/>
      <c r="L112" s="51"/>
      <c r="M112" s="51"/>
      <c r="N112" s="51"/>
      <c r="O112" s="51"/>
      <c r="P112" s="51"/>
      <c r="Q112" s="51"/>
      <c r="R112" s="21"/>
      <c r="S112" s="45"/>
    </row>
    <row r="113" spans="1:19" ht="111.75" hidden="1" customHeight="1" x14ac:dyDescent="0.2">
      <c r="A113" s="27">
        <v>43420</v>
      </c>
      <c r="B113" s="33">
        <v>11.55</v>
      </c>
      <c r="C113" s="8"/>
      <c r="D113" s="8"/>
      <c r="E113" s="17" t="s">
        <v>591</v>
      </c>
      <c r="F113" s="26" t="s">
        <v>590</v>
      </c>
      <c r="G113" s="21"/>
      <c r="H113" s="45" t="s">
        <v>592</v>
      </c>
      <c r="I113" s="51"/>
      <c r="J113" s="51"/>
      <c r="K113" s="51"/>
      <c r="L113" s="51"/>
      <c r="M113" s="51"/>
      <c r="N113" s="51"/>
      <c r="O113" s="51"/>
      <c r="P113" s="51"/>
      <c r="Q113" s="51"/>
      <c r="R113" s="21"/>
      <c r="S113" s="45" t="s">
        <v>593</v>
      </c>
    </row>
    <row r="114" spans="1:19" ht="94.5" hidden="1" customHeight="1" x14ac:dyDescent="0.2">
      <c r="A114" s="27">
        <v>43420</v>
      </c>
      <c r="B114" s="33">
        <v>12</v>
      </c>
      <c r="C114" s="8"/>
      <c r="D114" s="8"/>
      <c r="E114" s="17" t="s">
        <v>533</v>
      </c>
      <c r="F114" s="26" t="s">
        <v>534</v>
      </c>
      <c r="G114" s="21"/>
      <c r="H114" s="45" t="s">
        <v>535</v>
      </c>
      <c r="I114" s="51"/>
      <c r="J114" s="51"/>
      <c r="K114" s="51"/>
      <c r="L114" s="51"/>
      <c r="M114" s="51"/>
      <c r="N114" s="51"/>
      <c r="O114" s="51"/>
      <c r="P114" s="51"/>
      <c r="Q114" s="51"/>
      <c r="R114" s="21"/>
      <c r="S114" s="45"/>
    </row>
    <row r="115" spans="1:19" ht="126" hidden="1" customHeight="1" x14ac:dyDescent="0.2">
      <c r="A115" s="27">
        <v>43420</v>
      </c>
      <c r="B115" s="33">
        <v>12.1</v>
      </c>
      <c r="C115" s="8"/>
      <c r="D115" s="8"/>
      <c r="E115" s="17" t="s">
        <v>619</v>
      </c>
      <c r="F115" s="26" t="s">
        <v>618</v>
      </c>
      <c r="G115" s="21"/>
      <c r="H115" s="45" t="s">
        <v>620</v>
      </c>
      <c r="I115" s="51"/>
      <c r="J115" s="51"/>
      <c r="K115" s="51"/>
      <c r="L115" s="51"/>
      <c r="M115" s="51"/>
      <c r="N115" s="51"/>
      <c r="O115" s="51"/>
      <c r="P115" s="51"/>
      <c r="Q115" s="51"/>
      <c r="R115" s="21"/>
      <c r="S115" s="45"/>
    </row>
    <row r="116" spans="1:19" ht="102" hidden="1" customHeight="1" x14ac:dyDescent="0.2">
      <c r="A116" s="27">
        <v>43420</v>
      </c>
      <c r="B116" s="33">
        <v>12.15</v>
      </c>
      <c r="C116" s="8"/>
      <c r="D116" s="8"/>
      <c r="E116" s="17" t="s">
        <v>540</v>
      </c>
      <c r="F116" s="26" t="s">
        <v>539</v>
      </c>
      <c r="G116" s="21"/>
      <c r="H116" s="45" t="s">
        <v>541</v>
      </c>
      <c r="I116" s="51"/>
      <c r="J116" s="51"/>
      <c r="K116" s="51"/>
      <c r="L116" s="51"/>
      <c r="M116" s="51"/>
      <c r="N116" s="51"/>
      <c r="O116" s="51"/>
      <c r="P116" s="51"/>
      <c r="Q116" s="51"/>
      <c r="R116" s="21"/>
      <c r="S116" s="45"/>
    </row>
    <row r="117" spans="1:19" ht="99" hidden="1" customHeight="1" x14ac:dyDescent="0.2">
      <c r="A117" s="27">
        <v>43420</v>
      </c>
      <c r="B117" s="33">
        <v>12.2</v>
      </c>
      <c r="C117" s="8"/>
      <c r="D117" s="8"/>
      <c r="E117" s="17" t="s">
        <v>530</v>
      </c>
      <c r="F117" s="26" t="s">
        <v>531</v>
      </c>
      <c r="G117" s="21"/>
      <c r="H117" s="45" t="s">
        <v>532</v>
      </c>
      <c r="I117" s="51"/>
      <c r="J117" s="51"/>
      <c r="K117" s="51"/>
      <c r="L117" s="51"/>
      <c r="M117" s="51"/>
      <c r="N117" s="51"/>
      <c r="O117" s="51"/>
      <c r="P117" s="51"/>
      <c r="Q117" s="51"/>
      <c r="R117" s="21"/>
      <c r="S117" s="45"/>
    </row>
    <row r="118" spans="1:19" ht="98.25" hidden="1" customHeight="1" x14ac:dyDescent="0.2">
      <c r="A118" s="27">
        <v>43420</v>
      </c>
      <c r="B118" s="33">
        <v>12.25</v>
      </c>
      <c r="C118" s="8"/>
      <c r="D118" s="8"/>
      <c r="E118" s="17" t="s">
        <v>622</v>
      </c>
      <c r="F118" s="26" t="s">
        <v>621</v>
      </c>
      <c r="G118" s="21"/>
      <c r="H118" s="45" t="s">
        <v>623</v>
      </c>
      <c r="I118" s="51"/>
      <c r="J118" s="51"/>
      <c r="K118" s="51"/>
      <c r="L118" s="51"/>
      <c r="M118" s="51"/>
      <c r="N118" s="51"/>
      <c r="O118" s="51"/>
      <c r="P118" s="51"/>
      <c r="Q118" s="51"/>
      <c r="R118" s="21"/>
      <c r="S118" s="45"/>
    </row>
    <row r="119" spans="1:19" ht="115.5" hidden="1" customHeight="1" x14ac:dyDescent="0.2">
      <c r="A119" s="27">
        <v>43420</v>
      </c>
      <c r="B119" s="33">
        <v>12.3</v>
      </c>
      <c r="C119" s="8"/>
      <c r="D119" s="8"/>
      <c r="E119" s="17" t="s">
        <v>598</v>
      </c>
      <c r="F119" s="26" t="s">
        <v>597</v>
      </c>
      <c r="G119" s="21"/>
      <c r="H119" s="45" t="s">
        <v>599</v>
      </c>
      <c r="I119" s="51"/>
      <c r="J119" s="51"/>
      <c r="K119" s="51"/>
      <c r="L119" s="51"/>
      <c r="M119" s="51"/>
      <c r="N119" s="51"/>
      <c r="O119" s="51"/>
      <c r="P119" s="51"/>
      <c r="Q119" s="51"/>
      <c r="R119" s="21"/>
      <c r="S119" s="45"/>
    </row>
    <row r="120" spans="1:19" ht="113.25" hidden="1" customHeight="1" x14ac:dyDescent="0.2">
      <c r="A120" s="27">
        <v>43420</v>
      </c>
      <c r="B120" s="33">
        <v>12.35</v>
      </c>
      <c r="C120" s="8"/>
      <c r="D120" s="8"/>
      <c r="E120" s="17" t="s">
        <v>564</v>
      </c>
      <c r="F120" s="26" t="s">
        <v>563</v>
      </c>
      <c r="G120" s="21"/>
      <c r="H120" s="45" t="s">
        <v>565</v>
      </c>
      <c r="I120" s="51"/>
      <c r="J120" s="51"/>
      <c r="K120" s="51"/>
      <c r="L120" s="51"/>
      <c r="M120" s="51"/>
      <c r="N120" s="51"/>
      <c r="O120" s="51"/>
      <c r="P120" s="51"/>
      <c r="Q120" s="51"/>
      <c r="R120" s="21"/>
      <c r="S120" s="45"/>
    </row>
    <row r="121" spans="1:19" ht="113.25" hidden="1" customHeight="1" x14ac:dyDescent="0.2">
      <c r="A121" s="27">
        <v>43420</v>
      </c>
      <c r="B121" s="33">
        <v>12.4</v>
      </c>
      <c r="C121" s="8"/>
      <c r="D121" s="8"/>
      <c r="E121" s="17" t="s">
        <v>552</v>
      </c>
      <c r="F121" s="26" t="s">
        <v>551</v>
      </c>
      <c r="G121" s="21"/>
      <c r="H121" s="45" t="s">
        <v>553</v>
      </c>
      <c r="I121" s="51"/>
      <c r="J121" s="51"/>
      <c r="K121" s="51"/>
      <c r="L121" s="51"/>
      <c r="M121" s="51"/>
      <c r="N121" s="51"/>
      <c r="P121" s="51"/>
      <c r="Q121" s="51"/>
      <c r="R121" s="21"/>
      <c r="S121" s="45"/>
    </row>
    <row r="122" spans="1:19" ht="108.75" hidden="1" customHeight="1" x14ac:dyDescent="0.2">
      <c r="A122" s="27">
        <v>43420</v>
      </c>
      <c r="B122" s="33">
        <v>12.45</v>
      </c>
      <c r="C122" s="8"/>
      <c r="D122" s="8"/>
      <c r="E122" s="17" t="s">
        <v>585</v>
      </c>
      <c r="F122" s="26" t="s">
        <v>584</v>
      </c>
      <c r="G122" s="21"/>
      <c r="H122" s="84" t="s">
        <v>586</v>
      </c>
      <c r="I122" s="51"/>
      <c r="J122" s="51"/>
      <c r="K122" s="51"/>
      <c r="L122" s="51"/>
      <c r="M122" s="51"/>
      <c r="N122" s="51"/>
      <c r="O122" s="51"/>
      <c r="P122" s="51"/>
      <c r="Q122" s="51"/>
      <c r="R122" s="21"/>
      <c r="S122" s="45"/>
    </row>
    <row r="123" spans="1:19" ht="49.5" hidden="1" customHeight="1" x14ac:dyDescent="0.2">
      <c r="A123" s="27">
        <v>43420</v>
      </c>
      <c r="B123" s="33">
        <v>12.5</v>
      </c>
      <c r="C123" s="8"/>
      <c r="D123" s="8"/>
      <c r="E123" s="17" t="s">
        <v>558</v>
      </c>
      <c r="F123" s="26" t="s">
        <v>557</v>
      </c>
      <c r="G123" s="21"/>
      <c r="H123" s="45" t="s">
        <v>559</v>
      </c>
      <c r="I123" s="51"/>
      <c r="J123" s="51"/>
      <c r="K123" s="51"/>
      <c r="L123" s="51"/>
      <c r="M123" s="51"/>
      <c r="N123" s="51"/>
      <c r="O123" s="51"/>
      <c r="P123" s="51"/>
      <c r="Q123" s="51"/>
      <c r="R123" s="21"/>
      <c r="S123" s="45"/>
    </row>
    <row r="124" spans="1:19" ht="135.75" hidden="1" customHeight="1" x14ac:dyDescent="0.2">
      <c r="A124" s="27">
        <v>43420</v>
      </c>
      <c r="B124" s="33">
        <v>12.55</v>
      </c>
      <c r="C124" s="8"/>
      <c r="D124" s="8"/>
      <c r="E124" s="17" t="s">
        <v>507</v>
      </c>
      <c r="F124" s="26" t="s">
        <v>508</v>
      </c>
      <c r="G124" s="21"/>
      <c r="H124" s="45" t="s">
        <v>509</v>
      </c>
      <c r="I124" s="51"/>
      <c r="J124" s="51"/>
      <c r="K124" s="51"/>
      <c r="L124" s="51"/>
      <c r="M124" s="51"/>
      <c r="N124" s="51"/>
      <c r="O124" s="51"/>
      <c r="P124" s="51"/>
      <c r="Q124" s="51"/>
      <c r="R124" s="21"/>
      <c r="S124" s="45"/>
    </row>
    <row r="125" spans="1:19" ht="131.25" hidden="1" customHeight="1" x14ac:dyDescent="0.2">
      <c r="A125" s="27">
        <v>43420</v>
      </c>
      <c r="B125" s="33">
        <v>13</v>
      </c>
      <c r="C125" s="8"/>
      <c r="D125" s="8"/>
      <c r="E125" s="17" t="s">
        <v>567</v>
      </c>
      <c r="F125" s="26" t="s">
        <v>566</v>
      </c>
      <c r="G125" s="21"/>
      <c r="H125" s="45" t="s">
        <v>568</v>
      </c>
      <c r="I125" s="51"/>
      <c r="J125" s="51"/>
      <c r="K125" s="51"/>
      <c r="L125" s="51"/>
      <c r="M125" s="51"/>
      <c r="N125" s="51"/>
      <c r="O125" s="51"/>
      <c r="P125" s="51"/>
      <c r="Q125" s="51"/>
      <c r="R125" s="21"/>
      <c r="S125" s="45"/>
    </row>
    <row r="126" spans="1:19" ht="57" hidden="1" customHeight="1" x14ac:dyDescent="0.2">
      <c r="A126" s="27">
        <v>43420</v>
      </c>
      <c r="B126" s="33">
        <v>14</v>
      </c>
      <c r="C126" s="8"/>
      <c r="D126" s="8"/>
      <c r="E126" s="17" t="s">
        <v>607</v>
      </c>
      <c r="F126" s="26" t="s">
        <v>606</v>
      </c>
      <c r="G126" s="21"/>
      <c r="H126" s="84" t="s">
        <v>608</v>
      </c>
      <c r="I126" s="51"/>
      <c r="J126" s="51"/>
      <c r="K126" s="51"/>
      <c r="L126" s="51"/>
      <c r="M126" s="51"/>
      <c r="N126" s="51"/>
      <c r="O126" s="51"/>
      <c r="P126" s="51"/>
      <c r="Q126" s="51"/>
      <c r="R126" s="21"/>
      <c r="S126" s="45"/>
    </row>
    <row r="127" spans="1:19" ht="66.75" hidden="1" customHeight="1" x14ac:dyDescent="0.2">
      <c r="A127" s="27">
        <v>43420</v>
      </c>
      <c r="B127" s="33">
        <v>14.05</v>
      </c>
      <c r="C127" s="8"/>
      <c r="D127" s="8"/>
      <c r="E127" s="17" t="s">
        <v>616</v>
      </c>
      <c r="F127" s="26" t="s">
        <v>615</v>
      </c>
      <c r="G127" s="21"/>
      <c r="H127" s="45" t="s">
        <v>617</v>
      </c>
      <c r="I127" s="51"/>
      <c r="J127" s="51"/>
      <c r="K127" s="51"/>
      <c r="L127" s="51"/>
      <c r="M127" s="51"/>
      <c r="N127" s="51"/>
      <c r="O127" s="51"/>
      <c r="P127" s="51"/>
      <c r="Q127" s="51"/>
      <c r="R127" s="21"/>
      <c r="S127" s="45"/>
    </row>
    <row r="128" spans="1:19" ht="81.75" hidden="1" customHeight="1" x14ac:dyDescent="0.2">
      <c r="A128" s="27">
        <v>43420</v>
      </c>
      <c r="B128" s="33">
        <v>14.1</v>
      </c>
      <c r="C128" s="8"/>
      <c r="D128" s="8"/>
      <c r="E128" s="17" t="s">
        <v>513</v>
      </c>
      <c r="F128" s="26" t="s">
        <v>514</v>
      </c>
      <c r="G128" s="21"/>
      <c r="H128" s="45" t="s">
        <v>515</v>
      </c>
      <c r="I128" s="51"/>
      <c r="J128" s="51"/>
      <c r="K128" s="51"/>
      <c r="L128" s="51"/>
      <c r="M128" s="51"/>
      <c r="N128" s="51"/>
      <c r="O128" s="51"/>
      <c r="P128" s="51"/>
      <c r="Q128" s="51"/>
      <c r="R128" s="21"/>
      <c r="S128" s="45"/>
    </row>
    <row r="129" spans="1:19" ht="64.5" hidden="1" customHeight="1" x14ac:dyDescent="0.2">
      <c r="A129" s="27">
        <v>43420</v>
      </c>
      <c r="B129" s="33">
        <v>14.15</v>
      </c>
      <c r="C129" s="8"/>
      <c r="D129" s="8"/>
      <c r="E129" s="17" t="s">
        <v>571</v>
      </c>
      <c r="F129" s="26" t="s">
        <v>569</v>
      </c>
      <c r="G129" s="21"/>
      <c r="H129" s="84" t="s">
        <v>570</v>
      </c>
      <c r="I129" s="51"/>
      <c r="J129" s="51"/>
      <c r="K129" s="51"/>
      <c r="L129" s="51"/>
      <c r="M129" s="51"/>
      <c r="N129" s="51"/>
      <c r="O129" s="51"/>
      <c r="P129" s="51"/>
      <c r="Q129" s="51"/>
      <c r="R129" s="21"/>
      <c r="S129" s="45"/>
    </row>
    <row r="130" spans="1:19" ht="189" hidden="1" customHeight="1" x14ac:dyDescent="0.2">
      <c r="A130" s="27">
        <v>43420</v>
      </c>
      <c r="B130" s="33">
        <v>14.17</v>
      </c>
      <c r="C130" s="8"/>
      <c r="D130" s="8"/>
      <c r="E130" s="17" t="s">
        <v>355</v>
      </c>
      <c r="F130" s="26" t="s">
        <v>356</v>
      </c>
      <c r="G130" s="55"/>
      <c r="H130" s="45" t="s">
        <v>490</v>
      </c>
      <c r="I130" s="51"/>
      <c r="J130" s="51"/>
      <c r="K130" s="51">
        <v>3200000</v>
      </c>
      <c r="L130" s="51" t="s">
        <v>193</v>
      </c>
      <c r="M130" s="51"/>
      <c r="N130" s="51"/>
      <c r="O130" s="51"/>
      <c r="P130" s="51"/>
      <c r="Q130" s="51"/>
      <c r="R130" s="21"/>
      <c r="S130" s="22" t="s">
        <v>488</v>
      </c>
    </row>
    <row r="131" spans="1:19" ht="66.75" hidden="1" customHeight="1" x14ac:dyDescent="0.2">
      <c r="A131" s="27">
        <v>43420</v>
      </c>
      <c r="B131" s="33">
        <v>14.18</v>
      </c>
      <c r="C131" s="8"/>
      <c r="D131" s="8"/>
      <c r="E131" s="17" t="s">
        <v>273</v>
      </c>
      <c r="F131" s="26" t="s">
        <v>274</v>
      </c>
      <c r="G131" s="21"/>
      <c r="H131" s="45" t="s">
        <v>491</v>
      </c>
      <c r="I131" s="51"/>
      <c r="J131" s="51"/>
      <c r="K131" s="51">
        <v>4500000</v>
      </c>
      <c r="L131" s="51" t="s">
        <v>193</v>
      </c>
      <c r="M131" s="51"/>
      <c r="N131" s="51"/>
      <c r="O131" s="51"/>
      <c r="P131" s="51"/>
      <c r="Q131" s="51"/>
      <c r="R131" s="21"/>
      <c r="S131" s="22" t="s">
        <v>489</v>
      </c>
    </row>
    <row r="132" spans="1:19" ht="83.25" hidden="1" customHeight="1" x14ac:dyDescent="0.2">
      <c r="A132" s="27">
        <v>43420</v>
      </c>
      <c r="B132" s="33">
        <v>14.2</v>
      </c>
      <c r="C132" s="8"/>
      <c r="D132" s="8"/>
      <c r="E132" s="17" t="s">
        <v>379</v>
      </c>
      <c r="F132" s="26" t="s">
        <v>380</v>
      </c>
      <c r="G132" s="21"/>
      <c r="H132" s="45" t="s">
        <v>381</v>
      </c>
      <c r="I132" s="51">
        <f>8000000+341701.17*3</f>
        <v>9025103.5099999998</v>
      </c>
      <c r="J132" s="51"/>
      <c r="K132" s="51">
        <v>9000000</v>
      </c>
      <c r="L132" s="51">
        <v>1308000</v>
      </c>
      <c r="M132" s="60">
        <f>K132-L132</f>
        <v>7692000</v>
      </c>
      <c r="N132" s="51"/>
      <c r="O132" s="51"/>
      <c r="P132" s="51"/>
      <c r="Q132" s="51"/>
      <c r="R132" s="21"/>
      <c r="S132" s="22" t="s">
        <v>382</v>
      </c>
    </row>
    <row r="133" spans="1:19" ht="78.75" hidden="1" customHeight="1" x14ac:dyDescent="0.2">
      <c r="A133" s="27">
        <v>43420</v>
      </c>
      <c r="B133" s="33">
        <v>14.21</v>
      </c>
      <c r="C133" s="8"/>
      <c r="D133" s="8"/>
      <c r="E133" s="17" t="s">
        <v>314</v>
      </c>
      <c r="F133" s="26" t="s">
        <v>315</v>
      </c>
      <c r="G133" s="21"/>
      <c r="H133" s="45" t="s">
        <v>370</v>
      </c>
      <c r="I133" s="51">
        <v>5000000</v>
      </c>
      <c r="K133" s="51">
        <v>5000000</v>
      </c>
      <c r="L133" s="51">
        <v>171000</v>
      </c>
      <c r="M133" s="51">
        <f>K133-L133</f>
        <v>4829000</v>
      </c>
      <c r="O133" s="51"/>
      <c r="P133" s="51"/>
      <c r="Q133" s="51"/>
      <c r="R133" s="21"/>
      <c r="S133" s="45" t="s">
        <v>210</v>
      </c>
    </row>
    <row r="134" spans="1:19" ht="108" hidden="1" customHeight="1" x14ac:dyDescent="0.2">
      <c r="A134" s="27">
        <v>43420</v>
      </c>
      <c r="B134" s="33">
        <v>14.22</v>
      </c>
      <c r="C134" s="8"/>
      <c r="D134" s="8"/>
      <c r="E134" s="17" t="s">
        <v>290</v>
      </c>
      <c r="F134" s="26" t="s">
        <v>291</v>
      </c>
      <c r="G134" s="21"/>
      <c r="H134" s="45" t="s">
        <v>648</v>
      </c>
      <c r="I134" s="51">
        <f>7100000*2+100000</f>
        <v>14300000</v>
      </c>
      <c r="J134" s="51"/>
      <c r="K134" s="51">
        <v>14300000</v>
      </c>
      <c r="L134" s="51">
        <v>1815000</v>
      </c>
      <c r="M134" s="51">
        <f>K134-L134</f>
        <v>12485000</v>
      </c>
      <c r="N134" s="51"/>
      <c r="O134" s="51"/>
      <c r="P134" s="51"/>
      <c r="Q134" s="51"/>
      <c r="R134" s="21"/>
      <c r="S134" s="45" t="s">
        <v>210</v>
      </c>
    </row>
    <row r="135" spans="1:19" ht="106.5" hidden="1" customHeight="1" x14ac:dyDescent="0.2">
      <c r="A135" s="27">
        <v>43420</v>
      </c>
      <c r="B135" s="33">
        <v>14.24</v>
      </c>
      <c r="C135" s="8"/>
      <c r="D135" s="8"/>
      <c r="E135" s="17" t="s">
        <v>286</v>
      </c>
      <c r="F135" s="26" t="s">
        <v>287</v>
      </c>
      <c r="G135" s="21"/>
      <c r="H135" s="84" t="s">
        <v>384</v>
      </c>
      <c r="I135" s="51">
        <v>8100000</v>
      </c>
      <c r="J135" s="51"/>
      <c r="K135" s="51">
        <v>8100000</v>
      </c>
      <c r="L135" s="51">
        <f>(100%*32850/202500)*I135</f>
        <v>1314000</v>
      </c>
      <c r="M135" s="51">
        <f>K135-L135</f>
        <v>6786000</v>
      </c>
      <c r="N135" s="51"/>
      <c r="O135" s="51"/>
      <c r="P135" s="51"/>
      <c r="Q135" s="51"/>
      <c r="R135" s="21"/>
      <c r="S135" s="45" t="s">
        <v>391</v>
      </c>
    </row>
    <row r="136" spans="1:19" ht="120.75" hidden="1" customHeight="1" x14ac:dyDescent="0.2">
      <c r="A136" s="27">
        <v>43420</v>
      </c>
      <c r="B136" s="33">
        <v>14.25</v>
      </c>
      <c r="C136" s="8"/>
      <c r="D136" s="8"/>
      <c r="E136" s="63" t="s">
        <v>504</v>
      </c>
      <c r="F136" s="26" t="s">
        <v>505</v>
      </c>
      <c r="G136" s="21"/>
      <c r="H136" s="45" t="s">
        <v>506</v>
      </c>
      <c r="I136" s="51"/>
      <c r="J136" s="51"/>
      <c r="K136" s="51"/>
      <c r="L136" s="51"/>
      <c r="M136" s="51"/>
      <c r="N136" s="51"/>
      <c r="O136" s="51"/>
      <c r="P136" s="51"/>
      <c r="Q136" s="51"/>
      <c r="R136" s="21"/>
      <c r="S136" s="69"/>
    </row>
    <row r="137" spans="1:19" ht="105.75" hidden="1" customHeight="1" x14ac:dyDescent="0.2">
      <c r="A137" s="27">
        <v>43420</v>
      </c>
      <c r="B137" s="33">
        <v>14.26</v>
      </c>
      <c r="C137" s="8"/>
      <c r="D137" s="61"/>
      <c r="E137" s="17" t="s">
        <v>288</v>
      </c>
      <c r="F137" s="62" t="s">
        <v>390</v>
      </c>
      <c r="G137" s="21"/>
      <c r="H137" s="84" t="s">
        <v>385</v>
      </c>
      <c r="I137" s="51">
        <f>5390000+2310000</f>
        <v>7700000</v>
      </c>
      <c r="J137" s="51"/>
      <c r="K137" s="51">
        <v>7700000</v>
      </c>
      <c r="L137" s="51">
        <v>1311000</v>
      </c>
      <c r="M137" s="51">
        <f>K137-L137</f>
        <v>6389000</v>
      </c>
      <c r="N137" s="51"/>
      <c r="O137" s="51"/>
      <c r="P137" s="51"/>
      <c r="Q137" s="51"/>
      <c r="R137" s="67"/>
      <c r="S137" s="45" t="s">
        <v>392</v>
      </c>
    </row>
    <row r="138" spans="1:19" ht="42" hidden="1" customHeight="1" x14ac:dyDescent="0.2">
      <c r="A138" s="27">
        <v>43420</v>
      </c>
      <c r="B138" s="33">
        <v>14.28</v>
      </c>
      <c r="C138" s="8"/>
      <c r="D138" s="61"/>
      <c r="E138" s="17" t="s">
        <v>339</v>
      </c>
      <c r="F138" s="62" t="s">
        <v>340</v>
      </c>
      <c r="G138" s="21"/>
      <c r="H138" s="45" t="s">
        <v>386</v>
      </c>
      <c r="I138" s="51">
        <f>4050000+1050000+1000000+500000+1500000</f>
        <v>8100000</v>
      </c>
      <c r="J138" s="51"/>
      <c r="K138" s="51">
        <v>8100000</v>
      </c>
      <c r="L138" s="51">
        <v>1242000</v>
      </c>
      <c r="M138" s="51">
        <f>K138-L138</f>
        <v>6858000</v>
      </c>
      <c r="N138" s="51"/>
      <c r="O138" s="51"/>
      <c r="P138" s="51"/>
      <c r="Q138" s="51"/>
      <c r="R138" s="67"/>
      <c r="S138" s="45" t="s">
        <v>392</v>
      </c>
    </row>
    <row r="139" spans="1:19" ht="105.75" hidden="1" customHeight="1" x14ac:dyDescent="0.2">
      <c r="A139" s="27">
        <v>43420</v>
      </c>
      <c r="B139" s="33">
        <v>14.3</v>
      </c>
      <c r="C139" s="8"/>
      <c r="D139" s="8"/>
      <c r="E139" s="64" t="s">
        <v>310</v>
      </c>
      <c r="F139" s="26" t="s">
        <v>311</v>
      </c>
      <c r="G139" s="21"/>
      <c r="H139" s="84" t="s">
        <v>387</v>
      </c>
      <c r="I139" s="51">
        <f>600000+2162236+5000000</f>
        <v>7762236</v>
      </c>
      <c r="J139" s="51"/>
      <c r="K139" s="51">
        <v>7762236</v>
      </c>
      <c r="L139" s="51">
        <v>1254000</v>
      </c>
      <c r="M139" s="51">
        <f>K139-L139</f>
        <v>6508236</v>
      </c>
      <c r="N139" s="51"/>
      <c r="O139" s="51"/>
      <c r="P139" s="51"/>
      <c r="Q139" s="51"/>
      <c r="R139" s="21"/>
      <c r="S139" s="73" t="s">
        <v>392</v>
      </c>
    </row>
    <row r="140" spans="1:19" ht="105.75" hidden="1" customHeight="1" x14ac:dyDescent="0.2">
      <c r="A140" s="27">
        <v>43420</v>
      </c>
      <c r="B140" s="33">
        <v>14.32</v>
      </c>
      <c r="C140" s="8"/>
      <c r="D140" s="8"/>
      <c r="E140" s="17" t="s">
        <v>312</v>
      </c>
      <c r="F140" s="26" t="s">
        <v>313</v>
      </c>
      <c r="G140" s="21"/>
      <c r="H140" s="84" t="s">
        <v>388</v>
      </c>
      <c r="I140" s="51">
        <f>3800000+1000000+1400000+1409388</f>
        <v>7609388</v>
      </c>
      <c r="J140" s="51"/>
      <c r="K140" s="51">
        <v>7609388</v>
      </c>
      <c r="L140" s="51">
        <v>1216589</v>
      </c>
      <c r="M140" s="51">
        <f>K140-L140</f>
        <v>6392799</v>
      </c>
      <c r="N140" s="51"/>
      <c r="O140" s="51"/>
      <c r="P140" s="51"/>
      <c r="Q140" s="51"/>
      <c r="R140" s="21"/>
      <c r="S140" s="45" t="s">
        <v>392</v>
      </c>
    </row>
    <row r="141" spans="1:19" ht="105.75" hidden="1" customHeight="1" x14ac:dyDescent="0.2">
      <c r="A141" s="27">
        <v>43420</v>
      </c>
      <c r="B141" s="33">
        <v>14.33</v>
      </c>
      <c r="C141" s="8"/>
      <c r="D141" s="8"/>
      <c r="E141" s="44" t="s">
        <v>324</v>
      </c>
      <c r="F141" s="26" t="s">
        <v>325</v>
      </c>
      <c r="G141" s="21"/>
      <c r="H141" s="45" t="s">
        <v>480</v>
      </c>
      <c r="I141" s="51">
        <v>6159610</v>
      </c>
      <c r="J141" s="51"/>
      <c r="K141" s="51">
        <v>6159610</v>
      </c>
      <c r="L141" s="51" t="s">
        <v>193</v>
      </c>
      <c r="M141" s="51"/>
      <c r="N141" s="51"/>
      <c r="O141" s="51"/>
      <c r="P141" s="51"/>
      <c r="Q141" s="51"/>
      <c r="R141" s="21"/>
      <c r="S141" s="73" t="s">
        <v>481</v>
      </c>
    </row>
    <row r="142" spans="1:19" ht="105.75" hidden="1" customHeight="1" x14ac:dyDescent="0.2">
      <c r="A142" s="27">
        <v>43420</v>
      </c>
      <c r="B142" s="33">
        <v>14.34</v>
      </c>
      <c r="C142" s="8"/>
      <c r="D142" s="8"/>
      <c r="E142" s="44" t="s">
        <v>326</v>
      </c>
      <c r="F142" s="26" t="s">
        <v>328</v>
      </c>
      <c r="G142" s="21"/>
      <c r="H142" s="45" t="s">
        <v>393</v>
      </c>
      <c r="I142" s="51">
        <f>106500+9692943.2</f>
        <v>9799443.1999999993</v>
      </c>
      <c r="J142" s="51"/>
      <c r="K142" s="51">
        <v>9799443.1999999993</v>
      </c>
      <c r="L142" s="51">
        <v>228000</v>
      </c>
      <c r="M142" s="51">
        <f t="shared" ref="M142:M153" si="6">K142-L142</f>
        <v>9571443.1999999993</v>
      </c>
      <c r="N142" s="51"/>
      <c r="O142" s="51"/>
      <c r="P142" s="51"/>
      <c r="Q142" s="51"/>
      <c r="R142" s="21"/>
      <c r="S142" s="73" t="s">
        <v>499</v>
      </c>
    </row>
    <row r="143" spans="1:19" ht="147" hidden="1" customHeight="1" x14ac:dyDescent="0.2">
      <c r="A143" s="27">
        <v>43420</v>
      </c>
      <c r="B143" s="33">
        <v>14.36</v>
      </c>
      <c r="C143" s="8"/>
      <c r="D143" s="8"/>
      <c r="E143" s="17" t="s">
        <v>359</v>
      </c>
      <c r="F143" s="26" t="s">
        <v>360</v>
      </c>
      <c r="G143" s="55"/>
      <c r="H143" s="84" t="s">
        <v>394</v>
      </c>
      <c r="I143" s="51">
        <f>2853070+2900000*2+450000*2+557293*2+1500000*2+25000*2+207*2</f>
        <v>13718070</v>
      </c>
      <c r="J143" s="51"/>
      <c r="K143" s="51">
        <v>13718070</v>
      </c>
      <c r="L143" s="51">
        <v>1809000</v>
      </c>
      <c r="M143" s="51">
        <f t="shared" si="6"/>
        <v>11909070</v>
      </c>
      <c r="N143" s="51"/>
      <c r="O143" s="51"/>
      <c r="P143" s="51"/>
      <c r="Q143" s="51"/>
      <c r="R143" s="21"/>
      <c r="S143" s="45" t="s">
        <v>392</v>
      </c>
    </row>
    <row r="144" spans="1:19" ht="210.75" hidden="1" customHeight="1" x14ac:dyDescent="0.2">
      <c r="A144" s="27">
        <v>43420</v>
      </c>
      <c r="B144" s="33">
        <v>14.38</v>
      </c>
      <c r="C144" s="8"/>
      <c r="D144" s="8"/>
      <c r="E144" s="17" t="s">
        <v>348</v>
      </c>
      <c r="F144" s="26" t="s">
        <v>349</v>
      </c>
      <c r="G144" s="21"/>
      <c r="H144" s="84" t="s">
        <v>395</v>
      </c>
      <c r="I144" s="51">
        <f>2000000+7350000</f>
        <v>9350000</v>
      </c>
      <c r="J144" s="51"/>
      <c r="K144" s="51">
        <v>9350000</v>
      </c>
      <c r="L144" s="51">
        <v>1230000</v>
      </c>
      <c r="M144" s="51">
        <f t="shared" si="6"/>
        <v>8120000</v>
      </c>
      <c r="N144" s="51"/>
      <c r="O144" s="51"/>
      <c r="P144" s="51"/>
      <c r="Q144" s="51"/>
      <c r="R144" s="21"/>
      <c r="S144" s="45" t="s">
        <v>392</v>
      </c>
    </row>
    <row r="145" spans="1:19" ht="109.5" hidden="1" customHeight="1" x14ac:dyDescent="0.2">
      <c r="A145" s="27">
        <v>43420</v>
      </c>
      <c r="B145" s="33">
        <v>14.4</v>
      </c>
      <c r="C145" s="8"/>
      <c r="D145" s="8"/>
      <c r="E145" s="17" t="s">
        <v>331</v>
      </c>
      <c r="F145" s="26" t="s">
        <v>332</v>
      </c>
      <c r="G145" s="21"/>
      <c r="H145" s="84" t="s">
        <v>396</v>
      </c>
      <c r="I145" s="51">
        <f>603000+794100+800000+1000000+2200000+2205900</f>
        <v>7603000</v>
      </c>
      <c r="J145" s="51"/>
      <c r="K145" s="51">
        <v>7603000</v>
      </c>
      <c r="L145" s="51">
        <v>1314000</v>
      </c>
      <c r="M145" s="51">
        <f t="shared" si="6"/>
        <v>6289000</v>
      </c>
      <c r="N145" s="51"/>
      <c r="O145" s="51"/>
      <c r="P145" s="51"/>
      <c r="Q145" s="51"/>
      <c r="R145" s="21"/>
      <c r="S145" s="45" t="s">
        <v>399</v>
      </c>
    </row>
    <row r="146" spans="1:19" ht="124.5" hidden="1" customHeight="1" x14ac:dyDescent="0.2">
      <c r="A146" s="27">
        <v>43420</v>
      </c>
      <c r="B146" s="33">
        <v>14.42</v>
      </c>
      <c r="C146" s="8"/>
      <c r="D146" s="8"/>
      <c r="E146" s="44" t="s">
        <v>462</v>
      </c>
      <c r="F146" s="26" t="s">
        <v>463</v>
      </c>
      <c r="G146" s="21"/>
      <c r="H146" s="84" t="s">
        <v>464</v>
      </c>
      <c r="I146" s="51">
        <f>16100000+20000+317122.22</f>
        <v>16437122.220000001</v>
      </c>
      <c r="J146" s="51"/>
      <c r="K146" s="51">
        <v>16417122.220000001</v>
      </c>
      <c r="L146" s="51">
        <v>3402000</v>
      </c>
      <c r="M146" s="51">
        <f t="shared" si="6"/>
        <v>13015122.220000001</v>
      </c>
      <c r="N146" s="51"/>
      <c r="O146" s="51"/>
      <c r="P146" s="51"/>
      <c r="Q146" s="51"/>
      <c r="R146" s="21"/>
      <c r="S146" s="45" t="s">
        <v>465</v>
      </c>
    </row>
    <row r="147" spans="1:19" ht="105.75" hidden="1" customHeight="1" x14ac:dyDescent="0.2">
      <c r="A147" s="27">
        <v>43420</v>
      </c>
      <c r="B147" s="33">
        <v>14.44</v>
      </c>
      <c r="C147" s="8"/>
      <c r="D147" s="8"/>
      <c r="E147" s="17" t="s">
        <v>333</v>
      </c>
      <c r="F147" s="26" t="s">
        <v>334</v>
      </c>
      <c r="G147" s="21"/>
      <c r="H147" s="84" t="s">
        <v>397</v>
      </c>
      <c r="I147" s="51">
        <f>8270568.55+519529.45+500000+2525000</f>
        <v>11815098</v>
      </c>
      <c r="J147" s="51"/>
      <c r="K147" s="51">
        <v>11815098</v>
      </c>
      <c r="L147" s="51">
        <v>1815000</v>
      </c>
      <c r="M147" s="51">
        <f t="shared" si="6"/>
        <v>10000098</v>
      </c>
      <c r="N147" s="51"/>
      <c r="O147" s="51"/>
      <c r="P147" s="51"/>
      <c r="Q147" s="51"/>
      <c r="R147" s="21"/>
      <c r="S147" s="45" t="s">
        <v>399</v>
      </c>
    </row>
    <row r="148" spans="1:19" ht="105.75" hidden="1" customHeight="1" x14ac:dyDescent="0.2">
      <c r="A148" s="27">
        <v>43420</v>
      </c>
      <c r="B148" s="33">
        <v>14.46</v>
      </c>
      <c r="C148" s="8"/>
      <c r="D148" s="8"/>
      <c r="E148" s="17" t="s">
        <v>333</v>
      </c>
      <c r="F148" s="26" t="s">
        <v>470</v>
      </c>
      <c r="G148" s="21"/>
      <c r="H148" s="84" t="s">
        <v>471</v>
      </c>
      <c r="I148" s="51">
        <f>3754792.56+3000000+1145207.44</f>
        <v>7900000</v>
      </c>
      <c r="J148" s="51"/>
      <c r="K148" s="51">
        <v>7900000</v>
      </c>
      <c r="L148" s="51">
        <v>1237650</v>
      </c>
      <c r="M148" s="51">
        <f t="shared" si="6"/>
        <v>6662350</v>
      </c>
      <c r="N148" s="51"/>
      <c r="O148" s="51"/>
      <c r="P148" s="51"/>
      <c r="Q148" s="51"/>
      <c r="R148" s="21"/>
      <c r="S148" s="45" t="s">
        <v>472</v>
      </c>
    </row>
    <row r="149" spans="1:19" ht="105.75" hidden="1" customHeight="1" x14ac:dyDescent="0.2">
      <c r="A149" s="27">
        <v>43420</v>
      </c>
      <c r="B149" s="33">
        <v>14.48</v>
      </c>
      <c r="C149" s="8"/>
      <c r="D149" s="8"/>
      <c r="E149" s="17" t="s">
        <v>299</v>
      </c>
      <c r="F149" s="26" t="s">
        <v>300</v>
      </c>
      <c r="G149" s="21"/>
      <c r="H149" s="84" t="s">
        <v>372</v>
      </c>
      <c r="I149" s="51">
        <f>1000000+500000+6000000</f>
        <v>7500000</v>
      </c>
      <c r="J149" s="51"/>
      <c r="K149" s="51">
        <v>7500000</v>
      </c>
      <c r="L149" s="51">
        <v>1212000</v>
      </c>
      <c r="M149" s="51">
        <f t="shared" si="6"/>
        <v>6288000</v>
      </c>
      <c r="N149" s="51"/>
      <c r="O149" s="51"/>
      <c r="P149" s="51"/>
      <c r="Q149" s="51"/>
      <c r="R149" s="21"/>
      <c r="S149" s="45" t="s">
        <v>399</v>
      </c>
    </row>
    <row r="150" spans="1:19" ht="105.75" hidden="1" customHeight="1" thickBot="1" x14ac:dyDescent="0.25">
      <c r="A150" s="27">
        <v>43420</v>
      </c>
      <c r="B150" s="33">
        <v>14.5</v>
      </c>
      <c r="C150" s="8"/>
      <c r="D150" s="8"/>
      <c r="E150" s="78" t="s">
        <v>271</v>
      </c>
      <c r="F150" s="26" t="s">
        <v>272</v>
      </c>
      <c r="G150" s="21"/>
      <c r="H150" s="45" t="s">
        <v>425</v>
      </c>
      <c r="I150" s="51"/>
      <c r="J150" s="51"/>
      <c r="K150" s="51">
        <v>8820000</v>
      </c>
      <c r="L150" s="51">
        <v>225000</v>
      </c>
      <c r="M150" s="51">
        <f t="shared" si="6"/>
        <v>8595000</v>
      </c>
      <c r="N150" s="51"/>
      <c r="O150" s="51"/>
      <c r="P150" s="51"/>
      <c r="Q150" s="51"/>
      <c r="R150" s="21"/>
      <c r="S150" s="69" t="s">
        <v>427</v>
      </c>
    </row>
    <row r="151" spans="1:19" ht="105.75" hidden="1" customHeight="1" x14ac:dyDescent="0.2">
      <c r="A151" s="27">
        <v>43420</v>
      </c>
      <c r="B151" s="33">
        <v>14.5</v>
      </c>
      <c r="C151" s="8"/>
      <c r="D151" s="61"/>
      <c r="E151" s="65" t="s">
        <v>271</v>
      </c>
      <c r="F151" s="62" t="s">
        <v>272</v>
      </c>
      <c r="G151" s="21"/>
      <c r="H151" s="45" t="s">
        <v>426</v>
      </c>
      <c r="I151" s="51"/>
      <c r="J151" s="51"/>
      <c r="K151" s="51">
        <v>10756000</v>
      </c>
      <c r="L151" s="51">
        <v>540000</v>
      </c>
      <c r="M151" s="51">
        <f t="shared" si="6"/>
        <v>10216000</v>
      </c>
      <c r="N151" s="51"/>
      <c r="O151" s="51"/>
      <c r="P151" s="51"/>
      <c r="Q151" s="51"/>
      <c r="R151" s="67"/>
      <c r="S151" s="79"/>
    </row>
    <row r="152" spans="1:19" ht="49.5" hidden="1" customHeight="1" x14ac:dyDescent="0.2">
      <c r="A152" s="27">
        <v>43420</v>
      </c>
      <c r="B152" s="33">
        <v>14.5</v>
      </c>
      <c r="C152" s="8"/>
      <c r="D152" s="61"/>
      <c r="E152" s="66" t="s">
        <v>271</v>
      </c>
      <c r="F152" s="62" t="s">
        <v>272</v>
      </c>
      <c r="G152" s="21"/>
      <c r="H152" s="45" t="s">
        <v>423</v>
      </c>
      <c r="J152" s="51"/>
      <c r="K152" s="51">
        <v>8640000</v>
      </c>
      <c r="L152" s="51">
        <v>168000</v>
      </c>
      <c r="M152" s="51">
        <f t="shared" si="6"/>
        <v>8472000</v>
      </c>
      <c r="N152" s="51"/>
      <c r="O152" s="51"/>
      <c r="P152" s="51"/>
      <c r="Q152" s="51"/>
      <c r="R152" s="67"/>
      <c r="S152" s="72"/>
    </row>
    <row r="153" spans="1:19" ht="55.5" hidden="1" customHeight="1" x14ac:dyDescent="0.2">
      <c r="A153" s="27">
        <v>43420</v>
      </c>
      <c r="B153" s="33">
        <v>14.5</v>
      </c>
      <c r="C153" s="8"/>
      <c r="D153" s="61"/>
      <c r="E153" s="66" t="s">
        <v>271</v>
      </c>
      <c r="F153" s="62" t="s">
        <v>272</v>
      </c>
      <c r="G153" s="21"/>
      <c r="H153" s="45" t="s">
        <v>424</v>
      </c>
      <c r="I153" s="51"/>
      <c r="J153" s="51"/>
      <c r="K153" s="51">
        <v>11510000</v>
      </c>
      <c r="L153" s="51">
        <v>1227000</v>
      </c>
      <c r="M153" s="51">
        <f t="shared" si="6"/>
        <v>10283000</v>
      </c>
      <c r="N153" s="51"/>
      <c r="O153" s="51"/>
      <c r="P153" s="51"/>
      <c r="Q153" s="51"/>
      <c r="R153" s="67"/>
      <c r="S153" s="72"/>
    </row>
    <row r="154" spans="1:19" ht="49.5" hidden="1" customHeight="1" thickBot="1" x14ac:dyDescent="0.25">
      <c r="A154" s="27">
        <v>43420</v>
      </c>
      <c r="B154" s="33">
        <v>14.52</v>
      </c>
      <c r="C154" s="8"/>
      <c r="D154" s="61"/>
      <c r="E154" s="77" t="s">
        <v>260</v>
      </c>
      <c r="F154" s="62" t="s">
        <v>261</v>
      </c>
      <c r="G154" s="21"/>
      <c r="H154" s="45" t="s">
        <v>408</v>
      </c>
      <c r="I154" s="51">
        <f>1559000+541000+81346</f>
        <v>2181346</v>
      </c>
      <c r="J154" s="51"/>
      <c r="K154" s="51">
        <v>2181346</v>
      </c>
      <c r="L154" s="51" t="s">
        <v>193</v>
      </c>
      <c r="M154" s="51">
        <f>K154</f>
        <v>2181346</v>
      </c>
      <c r="N154" s="51"/>
      <c r="O154" s="51"/>
      <c r="P154" s="51"/>
      <c r="Q154" s="51"/>
      <c r="R154" s="67"/>
      <c r="S154" s="70" t="s">
        <v>409</v>
      </c>
    </row>
    <row r="155" spans="1:19" ht="45.75" hidden="1" customHeight="1" x14ac:dyDescent="0.2">
      <c r="A155" s="27">
        <v>43420</v>
      </c>
      <c r="B155" s="33">
        <v>14.54</v>
      </c>
      <c r="C155" s="8"/>
      <c r="D155" s="8"/>
      <c r="E155" s="64" t="s">
        <v>55</v>
      </c>
      <c r="F155" s="26" t="s">
        <v>54</v>
      </c>
      <c r="G155" s="21"/>
      <c r="H155" s="45" t="s">
        <v>174</v>
      </c>
      <c r="I155" s="51">
        <v>7677131.8600000003</v>
      </c>
      <c r="J155" s="51"/>
      <c r="K155" s="51">
        <v>7677131.8600000003</v>
      </c>
      <c r="L155" s="51">
        <f>(100%*24000/140944.46)*I155</f>
        <v>1307260.7794588024</v>
      </c>
      <c r="M155" s="51">
        <f>K155-L155</f>
        <v>6369871.0805411981</v>
      </c>
      <c r="N155" s="51"/>
      <c r="O155" s="51"/>
      <c r="P155" s="51"/>
      <c r="Q155" s="51"/>
      <c r="R155" s="21"/>
      <c r="S155" s="73" t="s">
        <v>410</v>
      </c>
    </row>
    <row r="156" spans="1:19" ht="89.25" hidden="1" x14ac:dyDescent="0.2">
      <c r="A156" s="27">
        <v>43420</v>
      </c>
      <c r="B156" s="33">
        <v>14.56</v>
      </c>
      <c r="C156" s="8"/>
      <c r="D156" s="8"/>
      <c r="E156" s="44" t="s">
        <v>337</v>
      </c>
      <c r="F156" s="26" t="s">
        <v>338</v>
      </c>
      <c r="G156" s="21"/>
      <c r="H156" s="45" t="s">
        <v>411</v>
      </c>
      <c r="I156" s="51">
        <f>2750000+688412</f>
        <v>3438412</v>
      </c>
      <c r="J156" s="51"/>
      <c r="K156" s="51">
        <v>3438412</v>
      </c>
      <c r="L156" s="51" t="s">
        <v>193</v>
      </c>
      <c r="M156" s="51">
        <f>K156</f>
        <v>3438412</v>
      </c>
      <c r="N156" s="51"/>
      <c r="O156" s="51"/>
      <c r="P156" s="51"/>
      <c r="Q156" s="51"/>
      <c r="R156" s="21"/>
      <c r="S156" s="45" t="s">
        <v>412</v>
      </c>
    </row>
    <row r="157" spans="1:19" ht="89.25" hidden="1" x14ac:dyDescent="0.2">
      <c r="A157" s="27">
        <v>43420</v>
      </c>
      <c r="B157" s="33">
        <v>14.58</v>
      </c>
      <c r="C157" s="8"/>
      <c r="D157" s="8"/>
      <c r="E157" s="17" t="s">
        <v>365</v>
      </c>
      <c r="F157" s="26" t="s">
        <v>366</v>
      </c>
      <c r="G157" s="55"/>
      <c r="H157" s="45" t="s">
        <v>413</v>
      </c>
      <c r="I157" s="51"/>
      <c r="J157" s="51"/>
      <c r="K157" s="51">
        <v>3809419.2</v>
      </c>
      <c r="L157" s="51" t="s">
        <v>193</v>
      </c>
      <c r="M157" s="51">
        <f>K157</f>
        <v>3809419.2</v>
      </c>
      <c r="N157" s="51"/>
      <c r="O157" s="51"/>
      <c r="P157" s="51"/>
      <c r="Q157" s="51"/>
      <c r="R157" s="21"/>
      <c r="S157" s="45" t="s">
        <v>414</v>
      </c>
    </row>
    <row r="158" spans="1:19" ht="51" hidden="1" x14ac:dyDescent="0.2">
      <c r="A158" s="27">
        <v>43420</v>
      </c>
      <c r="B158" s="33">
        <v>15</v>
      </c>
      <c r="C158" s="8"/>
      <c r="D158" s="8"/>
      <c r="E158" s="44" t="s">
        <v>61</v>
      </c>
      <c r="F158" s="26" t="s">
        <v>62</v>
      </c>
      <c r="G158" s="21"/>
      <c r="H158" s="45"/>
      <c r="I158" s="51"/>
      <c r="J158" s="51"/>
      <c r="K158" s="51"/>
      <c r="L158" s="51"/>
      <c r="M158" s="51"/>
      <c r="N158" s="51">
        <v>3360321</v>
      </c>
      <c r="O158" s="51"/>
      <c r="P158" s="51">
        <f>1888221+300000</f>
        <v>2188221</v>
      </c>
      <c r="Q158" s="51"/>
      <c r="R158" s="21"/>
      <c r="S158" s="45" t="s">
        <v>415</v>
      </c>
    </row>
    <row r="159" spans="1:19" ht="127.5" hidden="1" x14ac:dyDescent="0.2">
      <c r="A159" s="27">
        <v>43420</v>
      </c>
      <c r="B159" s="33">
        <v>15.02</v>
      </c>
      <c r="C159" s="8"/>
      <c r="D159" s="8"/>
      <c r="E159" s="44" t="s">
        <v>357</v>
      </c>
      <c r="F159" s="26" t="s">
        <v>358</v>
      </c>
      <c r="G159" s="55"/>
      <c r="H159" s="45" t="s">
        <v>419</v>
      </c>
      <c r="I159" s="51"/>
      <c r="J159" s="51"/>
      <c r="K159" s="51">
        <v>7333894</v>
      </c>
      <c r="L159" s="51">
        <v>1230840</v>
      </c>
      <c r="M159" s="51">
        <f>K159-L159</f>
        <v>6103054</v>
      </c>
      <c r="N159" s="51"/>
      <c r="O159" s="51">
        <v>200000</v>
      </c>
      <c r="P159" s="51">
        <f>2628381.92266667+3666947</f>
        <v>6295328.9226666698</v>
      </c>
      <c r="Q159" s="51"/>
      <c r="R159" s="21"/>
      <c r="S159" s="45" t="s">
        <v>420</v>
      </c>
    </row>
    <row r="160" spans="1:19" ht="89.25" hidden="1" x14ac:dyDescent="0.2">
      <c r="A160" s="27">
        <v>43420</v>
      </c>
      <c r="B160" s="33">
        <v>15.04</v>
      </c>
      <c r="C160" s="8"/>
      <c r="D160" s="8"/>
      <c r="E160" s="76" t="s">
        <v>501</v>
      </c>
      <c r="F160" s="26" t="s">
        <v>352</v>
      </c>
      <c r="G160" s="21"/>
      <c r="H160" s="45" t="s">
        <v>422</v>
      </c>
      <c r="I160" s="51">
        <f>5845000+1252500*2</f>
        <v>8350000</v>
      </c>
      <c r="J160" s="51"/>
      <c r="K160" s="51">
        <v>8350000</v>
      </c>
      <c r="L160" s="51">
        <v>481500</v>
      </c>
      <c r="M160" s="51">
        <f>K160-L160</f>
        <v>7868500</v>
      </c>
      <c r="N160" s="51"/>
      <c r="O160" s="51"/>
      <c r="P160" s="51"/>
      <c r="Q160" s="51"/>
      <c r="R160" s="21"/>
      <c r="S160" s="45" t="s">
        <v>428</v>
      </c>
    </row>
    <row r="161" spans="1:19" ht="129.75" hidden="1" customHeight="1" x14ac:dyDescent="0.2">
      <c r="A161" s="27">
        <v>43420</v>
      </c>
      <c r="B161" s="33">
        <v>15.06</v>
      </c>
      <c r="C161" s="8"/>
      <c r="D161" s="8"/>
      <c r="E161" s="76" t="s">
        <v>65</v>
      </c>
      <c r="F161" s="26" t="s">
        <v>66</v>
      </c>
      <c r="G161" s="21"/>
      <c r="H161" s="45" t="s">
        <v>176</v>
      </c>
      <c r="I161" s="51">
        <v>2889138.7</v>
      </c>
      <c r="J161" s="51"/>
      <c r="K161" s="51">
        <v>2889138.7</v>
      </c>
      <c r="L161" s="51"/>
      <c r="M161" s="51"/>
      <c r="N161" s="51"/>
      <c r="O161" s="51"/>
      <c r="P161" s="51"/>
      <c r="Q161" s="51"/>
      <c r="R161" s="21"/>
      <c r="S161" s="45" t="s">
        <v>175</v>
      </c>
    </row>
    <row r="162" spans="1:19" ht="89.25" hidden="1" x14ac:dyDescent="0.2">
      <c r="A162" s="27">
        <v>43420</v>
      </c>
      <c r="B162" s="33">
        <v>15.08</v>
      </c>
      <c r="C162" s="8"/>
      <c r="D162" s="8"/>
      <c r="E162" s="76" t="s">
        <v>341</v>
      </c>
      <c r="F162" s="26" t="s">
        <v>342</v>
      </c>
      <c r="G162" s="21"/>
      <c r="H162" s="45" t="s">
        <v>429</v>
      </c>
      <c r="I162" s="51">
        <f>812732+10000+707053.33+36327+350000+207862+140000+1180000+125000+720000+10504</f>
        <v>4299478.33</v>
      </c>
      <c r="J162" s="51"/>
      <c r="K162" s="51">
        <v>4299478.33</v>
      </c>
      <c r="L162" s="51">
        <v>63000</v>
      </c>
      <c r="M162" s="51">
        <f>K162-L162</f>
        <v>4236478.33</v>
      </c>
      <c r="N162" s="51"/>
      <c r="O162" s="51"/>
      <c r="P162" s="51">
        <v>674588.56608033343</v>
      </c>
      <c r="Q162" s="51"/>
      <c r="R162" s="21"/>
      <c r="S162" s="45" t="s">
        <v>430</v>
      </c>
    </row>
    <row r="163" spans="1:19" ht="89.25" hidden="1" x14ac:dyDescent="0.2">
      <c r="A163" s="27">
        <v>43420</v>
      </c>
      <c r="B163" s="33">
        <v>15.1</v>
      </c>
      <c r="C163" s="8"/>
      <c r="D163" s="8"/>
      <c r="E163" s="17" t="s">
        <v>295</v>
      </c>
      <c r="F163" s="26" t="s">
        <v>296</v>
      </c>
      <c r="G163" s="21"/>
      <c r="H163" s="45" t="s">
        <v>431</v>
      </c>
      <c r="I163" s="51">
        <v>18278389.199999999</v>
      </c>
      <c r="J163" s="51"/>
      <c r="K163" s="51">
        <v>18278389.199999999</v>
      </c>
      <c r="L163" s="51">
        <f>(100%*51263.14/369137.74)*I163</f>
        <v>2538368.5356422453</v>
      </c>
      <c r="M163" s="51">
        <f>K163-L163</f>
        <v>15740020.664357753</v>
      </c>
      <c r="N163" s="51"/>
      <c r="O163" s="51"/>
      <c r="P163" s="51"/>
      <c r="Q163" s="51"/>
      <c r="R163" s="21"/>
      <c r="S163" s="45" t="s">
        <v>437</v>
      </c>
    </row>
    <row r="164" spans="1:19" ht="107.25" hidden="1" customHeight="1" x14ac:dyDescent="0.2">
      <c r="A164" s="27">
        <v>43420</v>
      </c>
      <c r="B164" s="33">
        <v>15.12</v>
      </c>
      <c r="C164" s="8"/>
      <c r="D164" s="8"/>
      <c r="E164" s="17" t="s">
        <v>335</v>
      </c>
      <c r="F164" s="26" t="s">
        <v>336</v>
      </c>
      <c r="G164" s="21"/>
      <c r="H164" s="45" t="s">
        <v>432</v>
      </c>
      <c r="I164" s="51">
        <f>2800000+109000+524000+700000+1488773.38+1500000</f>
        <v>7121773.3799999999</v>
      </c>
      <c r="J164" s="51"/>
      <c r="K164" s="51">
        <v>7121773.3799999999</v>
      </c>
      <c r="L164" s="51">
        <v>369000</v>
      </c>
      <c r="M164" s="51">
        <f>K164-L164</f>
        <v>6752773.3799999999</v>
      </c>
      <c r="N164" s="51"/>
      <c r="O164" s="51"/>
      <c r="P164" s="51"/>
      <c r="Q164" s="51"/>
      <c r="R164" s="21"/>
      <c r="S164" s="45" t="s">
        <v>433</v>
      </c>
    </row>
    <row r="165" spans="1:19" ht="102" hidden="1" x14ac:dyDescent="0.2">
      <c r="A165" s="27">
        <v>43420</v>
      </c>
      <c r="B165" s="33">
        <v>15.14</v>
      </c>
      <c r="C165" s="8"/>
      <c r="D165" s="8"/>
      <c r="E165" s="17" t="s">
        <v>466</v>
      </c>
      <c r="F165" s="26" t="s">
        <v>467</v>
      </c>
      <c r="G165" s="21"/>
      <c r="H165" s="45" t="s">
        <v>468</v>
      </c>
      <c r="I165" s="51">
        <v>6435314</v>
      </c>
      <c r="J165" s="51"/>
      <c r="K165" s="51">
        <v>6435314</v>
      </c>
      <c r="L165" s="51">
        <v>1199910</v>
      </c>
      <c r="M165" s="51">
        <f>K165-L165</f>
        <v>5235404</v>
      </c>
      <c r="N165" s="51"/>
      <c r="O165" s="51"/>
      <c r="P165" s="51"/>
      <c r="Q165" s="51"/>
      <c r="R165" s="21"/>
      <c r="S165" s="45" t="s">
        <v>469</v>
      </c>
    </row>
    <row r="166" spans="1:19" ht="89.25" hidden="1" x14ac:dyDescent="0.2">
      <c r="A166" s="27">
        <v>43420</v>
      </c>
      <c r="B166" s="33">
        <v>15.16</v>
      </c>
      <c r="C166" s="8"/>
      <c r="D166" s="8"/>
      <c r="E166" s="17" t="s">
        <v>316</v>
      </c>
      <c r="F166" s="26" t="s">
        <v>317</v>
      </c>
      <c r="G166" s="21"/>
      <c r="H166" s="45" t="s">
        <v>434</v>
      </c>
      <c r="I166" s="51">
        <f>3995000+1435000+83374.9+4000000+1240000+3105000</f>
        <v>13858374.9</v>
      </c>
      <c r="J166" s="51"/>
      <c r="K166" s="51">
        <v>13858374.9</v>
      </c>
      <c r="L166" s="51">
        <f>(100%*48128.57/395953.57)*I166</f>
        <v>1684499.9439224477</v>
      </c>
      <c r="M166" s="51">
        <f>K166-L166</f>
        <v>12173874.956077553</v>
      </c>
      <c r="N166" s="51"/>
      <c r="O166" s="51"/>
      <c r="P166" s="51"/>
      <c r="Q166" s="51"/>
      <c r="R166" s="21"/>
      <c r="S166" s="45" t="s">
        <v>436</v>
      </c>
    </row>
    <row r="167" spans="1:19" ht="76.5" hidden="1" x14ac:dyDescent="0.2">
      <c r="A167" s="27">
        <v>43420</v>
      </c>
      <c r="B167" s="33">
        <v>15.18</v>
      </c>
      <c r="C167" s="8"/>
      <c r="D167" s="8"/>
      <c r="E167" s="17" t="s">
        <v>329</v>
      </c>
      <c r="F167" s="26" t="s">
        <v>330</v>
      </c>
      <c r="G167" s="21"/>
      <c r="H167" s="45" t="s">
        <v>435</v>
      </c>
      <c r="I167" s="51"/>
      <c r="J167" s="51"/>
      <c r="K167" s="51">
        <v>5794491</v>
      </c>
      <c r="L167" s="51" t="s">
        <v>193</v>
      </c>
      <c r="M167" s="51">
        <f>K167</f>
        <v>5794491</v>
      </c>
      <c r="N167" s="51"/>
      <c r="O167" s="51"/>
      <c r="P167" s="51"/>
      <c r="Q167" s="51"/>
      <c r="R167" s="21"/>
      <c r="S167" s="45" t="s">
        <v>438</v>
      </c>
    </row>
    <row r="168" spans="1:19" hidden="1" x14ac:dyDescent="0.2">
      <c r="A168" s="27">
        <v>43420</v>
      </c>
      <c r="B168" s="33">
        <v>15.2</v>
      </c>
      <c r="C168" s="8"/>
      <c r="D168" s="8"/>
      <c r="E168" s="76" t="s">
        <v>631</v>
      </c>
      <c r="F168" s="26" t="s">
        <v>630</v>
      </c>
      <c r="G168" s="51"/>
      <c r="H168" s="83"/>
      <c r="I168" s="51"/>
      <c r="J168" s="51"/>
      <c r="K168" s="51"/>
      <c r="L168" s="51"/>
      <c r="M168" s="51"/>
      <c r="N168" s="51"/>
      <c r="O168" s="51"/>
      <c r="P168" s="51"/>
      <c r="Q168" s="51"/>
      <c r="R168" s="21"/>
      <c r="S168" s="45" t="s">
        <v>632</v>
      </c>
    </row>
    <row r="169" spans="1:19" ht="51" hidden="1" x14ac:dyDescent="0.2">
      <c r="A169" s="27">
        <v>43420</v>
      </c>
      <c r="B169" s="33">
        <v>15.4</v>
      </c>
      <c r="C169" s="8"/>
      <c r="D169" s="8"/>
      <c r="E169" s="17" t="s">
        <v>108</v>
      </c>
      <c r="F169" s="26" t="s">
        <v>109</v>
      </c>
      <c r="G169" s="21"/>
      <c r="H169" s="45" t="s">
        <v>222</v>
      </c>
      <c r="I169" s="51"/>
      <c r="J169" s="51"/>
      <c r="K169" s="51">
        <v>7040083.7699999996</v>
      </c>
      <c r="L169" s="55" t="s">
        <v>223</v>
      </c>
      <c r="M169" s="51"/>
      <c r="N169" s="51"/>
      <c r="O169" s="51">
        <v>327900</v>
      </c>
      <c r="P169" s="51"/>
      <c r="Q169" s="51"/>
      <c r="R169" s="21"/>
      <c r="S169" s="45" t="s">
        <v>234</v>
      </c>
    </row>
    <row r="170" spans="1:19" ht="98.25" hidden="1" customHeight="1" x14ac:dyDescent="0.2">
      <c r="A170" s="27">
        <v>43420</v>
      </c>
      <c r="B170" s="33"/>
      <c r="C170" s="8"/>
      <c r="D170" s="8"/>
      <c r="E170" s="17"/>
      <c r="F170" s="26"/>
      <c r="G170" s="21"/>
      <c r="H170" s="45"/>
      <c r="I170" s="51"/>
      <c r="J170" s="51"/>
      <c r="K170" s="51"/>
      <c r="L170" s="51"/>
      <c r="M170" s="51"/>
      <c r="N170" s="51"/>
      <c r="O170" s="51"/>
      <c r="P170" s="51"/>
      <c r="Q170" s="51"/>
      <c r="R170" s="21"/>
      <c r="S170" s="45"/>
    </row>
    <row r="171" spans="1:19" ht="113.25" hidden="1" customHeight="1" x14ac:dyDescent="0.2">
      <c r="A171" s="27">
        <v>43420</v>
      </c>
      <c r="B171" s="33"/>
      <c r="C171" s="8"/>
      <c r="D171" s="8"/>
      <c r="E171" s="17"/>
      <c r="F171" s="26"/>
      <c r="G171" s="21"/>
      <c r="H171" s="45"/>
      <c r="I171" s="51"/>
      <c r="J171" s="51"/>
      <c r="K171" s="51"/>
      <c r="L171" s="51"/>
      <c r="M171" s="51"/>
      <c r="N171" s="51"/>
      <c r="O171" s="51"/>
      <c r="P171" s="51"/>
      <c r="Q171" s="51"/>
      <c r="R171" s="21"/>
      <c r="S171" s="45"/>
    </row>
    <row r="172" spans="1:19" hidden="1" x14ac:dyDescent="0.2">
      <c r="A172" s="27">
        <v>43420</v>
      </c>
      <c r="B172" s="33"/>
      <c r="C172" s="8"/>
      <c r="D172" s="8"/>
      <c r="E172" s="17"/>
      <c r="F172" s="26"/>
      <c r="G172" s="21"/>
      <c r="H172" s="45"/>
      <c r="I172" s="51"/>
      <c r="J172" s="51"/>
      <c r="K172" s="51"/>
      <c r="L172" s="51"/>
      <c r="M172" s="51"/>
      <c r="N172" s="51"/>
      <c r="O172" s="51"/>
      <c r="P172" s="51"/>
      <c r="Q172" s="51"/>
      <c r="R172" s="21"/>
      <c r="S172" s="45"/>
    </row>
    <row r="173" spans="1:19" ht="117" hidden="1" customHeight="1" x14ac:dyDescent="0.2">
      <c r="A173" s="27">
        <v>43420</v>
      </c>
      <c r="B173" s="33"/>
      <c r="C173" s="8"/>
      <c r="D173" s="8"/>
      <c r="E173" s="17"/>
      <c r="F173" s="26"/>
      <c r="G173" s="21"/>
      <c r="H173" s="45"/>
      <c r="I173" s="51"/>
      <c r="J173" s="51"/>
      <c r="K173" s="51"/>
      <c r="L173" s="51"/>
      <c r="M173" s="51"/>
      <c r="N173" s="51"/>
      <c r="O173" s="51"/>
      <c r="P173" s="51"/>
      <c r="Q173" s="51"/>
      <c r="R173" s="21"/>
      <c r="S173" s="45"/>
    </row>
    <row r="174" spans="1:19" ht="38.25" hidden="1" x14ac:dyDescent="0.2">
      <c r="A174" s="27">
        <v>43427</v>
      </c>
      <c r="B174" s="33">
        <v>14</v>
      </c>
      <c r="C174" s="8"/>
      <c r="D174" s="8"/>
      <c r="E174" s="44" t="s">
        <v>326</v>
      </c>
      <c r="F174" s="26" t="s">
        <v>327</v>
      </c>
      <c r="G174" s="58">
        <v>4020648.14</v>
      </c>
      <c r="H174" s="83"/>
      <c r="I174" s="51"/>
      <c r="J174" s="51"/>
      <c r="K174" s="51"/>
      <c r="L174" s="51"/>
      <c r="M174" s="51"/>
      <c r="N174" s="51"/>
      <c r="O174" s="51">
        <f>1368648.14+2652000</f>
        <v>4020648.1399999997</v>
      </c>
      <c r="P174" s="51"/>
      <c r="Q174" s="51"/>
      <c r="R174" s="21"/>
      <c r="S174" s="45" t="s">
        <v>479</v>
      </c>
    </row>
    <row r="175" spans="1:19" ht="51" hidden="1" x14ac:dyDescent="0.2">
      <c r="A175" s="27">
        <v>43427</v>
      </c>
      <c r="B175" s="33">
        <v>14.05</v>
      </c>
      <c r="C175" s="8"/>
      <c r="D175" s="8"/>
      <c r="E175" s="17" t="s">
        <v>108</v>
      </c>
      <c r="F175" s="21" t="s">
        <v>264</v>
      </c>
      <c r="G175" s="51"/>
      <c r="H175" s="83"/>
      <c r="I175" s="51"/>
      <c r="J175" s="51"/>
      <c r="K175" s="51"/>
      <c r="L175" s="51"/>
      <c r="M175" s="51"/>
      <c r="N175" s="51"/>
      <c r="O175" s="51"/>
      <c r="P175" s="51">
        <f>234786.79+117393.4+22638.57</f>
        <v>374818.76</v>
      </c>
      <c r="Q175" s="51"/>
      <c r="R175" s="21"/>
      <c r="S175" s="45" t="s">
        <v>445</v>
      </c>
    </row>
    <row r="176" spans="1:19" ht="165.75" hidden="1" x14ac:dyDescent="0.2">
      <c r="A176" s="27">
        <v>43427</v>
      </c>
      <c r="B176" s="33">
        <v>14.1</v>
      </c>
      <c r="C176" s="8"/>
      <c r="D176" s="8"/>
      <c r="E176" s="17" t="s">
        <v>258</v>
      </c>
      <c r="F176" s="26" t="s">
        <v>259</v>
      </c>
      <c r="G176" s="21"/>
      <c r="H176" s="83"/>
      <c r="I176" s="51"/>
      <c r="J176" s="51"/>
      <c r="K176" s="51"/>
      <c r="L176" s="51"/>
      <c r="M176" s="51"/>
      <c r="N176" s="51"/>
      <c r="O176" s="51"/>
      <c r="P176" s="51"/>
      <c r="Q176" s="51"/>
      <c r="R176" s="21"/>
      <c r="S176" s="45" t="s">
        <v>446</v>
      </c>
    </row>
    <row r="177" spans="1:19" ht="38.25" hidden="1" x14ac:dyDescent="0.2">
      <c r="A177" s="27">
        <v>43427</v>
      </c>
      <c r="B177" s="33">
        <v>14.15</v>
      </c>
      <c r="C177" s="8"/>
      <c r="D177" s="8"/>
      <c r="E177" s="22" t="s">
        <v>20</v>
      </c>
      <c r="F177" s="22" t="s">
        <v>447</v>
      </c>
      <c r="G177" s="10"/>
      <c r="H177" s="10"/>
      <c r="I177" s="10"/>
      <c r="J177" s="10"/>
      <c r="K177" s="10"/>
      <c r="L177" s="10"/>
      <c r="M177" s="10"/>
      <c r="N177" s="11"/>
      <c r="O177" s="11"/>
      <c r="P177" s="11"/>
      <c r="Q177" s="11"/>
      <c r="R177" s="25"/>
      <c r="S177" s="74" t="s">
        <v>448</v>
      </c>
    </row>
    <row r="178" spans="1:19" ht="63.75" hidden="1" x14ac:dyDescent="0.2">
      <c r="A178" s="27">
        <v>43427</v>
      </c>
      <c r="B178" s="33">
        <v>14.2</v>
      </c>
      <c r="C178" s="8"/>
      <c r="D178" s="8"/>
      <c r="E178" s="45" t="s">
        <v>19</v>
      </c>
      <c r="F178" s="26" t="s">
        <v>29</v>
      </c>
      <c r="G178" s="10">
        <f>N178+O178</f>
        <v>40000</v>
      </c>
      <c r="H178" s="39" t="s">
        <v>45</v>
      </c>
      <c r="I178" s="39">
        <f>1000000+600000+3150000+2300000+1150000+346974</f>
        <v>8546974</v>
      </c>
      <c r="J178" s="39"/>
      <c r="K178" s="39">
        <v>8546974</v>
      </c>
      <c r="L178" s="39"/>
      <c r="M178" s="39"/>
      <c r="N178" s="11"/>
      <c r="O178" s="11">
        <f>20000*2</f>
        <v>40000</v>
      </c>
      <c r="P178" s="11">
        <f>(403203.5+221601.75)*2</f>
        <v>1249610.5</v>
      </c>
      <c r="Q178" s="11"/>
      <c r="R178" s="21"/>
      <c r="S178" s="45" t="s">
        <v>449</v>
      </c>
    </row>
    <row r="179" spans="1:19" ht="90.75" hidden="1" customHeight="1" x14ac:dyDescent="0.2">
      <c r="A179" s="27">
        <v>43427</v>
      </c>
      <c r="B179" s="33">
        <v>14.25</v>
      </c>
      <c r="C179" s="8"/>
      <c r="D179" s="8"/>
      <c r="E179" s="13" t="s">
        <v>18</v>
      </c>
      <c r="F179" s="13" t="s">
        <v>33</v>
      </c>
      <c r="G179" s="10">
        <f>I179+O179</f>
        <v>6180398.9500000002</v>
      </c>
      <c r="H179" s="39" t="s">
        <v>458</v>
      </c>
      <c r="I179" s="11">
        <f>4203123.95+1977275</f>
        <v>6180398.9500000002</v>
      </c>
      <c r="J179" s="51"/>
      <c r="K179" s="10">
        <v>6173204.0199999996</v>
      </c>
      <c r="L179" s="10">
        <v>100800</v>
      </c>
      <c r="M179" s="10">
        <f>K179-L179</f>
        <v>6072404.0199999996</v>
      </c>
      <c r="N179" s="51"/>
      <c r="O179" s="11"/>
      <c r="P179" s="11"/>
      <c r="Q179" s="11"/>
      <c r="R179" s="12"/>
      <c r="S179" s="45" t="s">
        <v>459</v>
      </c>
    </row>
    <row r="180" spans="1:19" ht="76.5" hidden="1" x14ac:dyDescent="0.2">
      <c r="A180" s="27">
        <v>43427</v>
      </c>
      <c r="B180" s="33">
        <v>14.3</v>
      </c>
      <c r="C180" s="8"/>
      <c r="D180" s="8"/>
      <c r="E180" s="13" t="s">
        <v>15</v>
      </c>
      <c r="F180" s="9" t="s">
        <v>16</v>
      </c>
      <c r="G180" s="10"/>
      <c r="H180" s="10"/>
      <c r="I180" s="10"/>
      <c r="J180" s="10"/>
      <c r="K180" s="10"/>
      <c r="L180" s="10"/>
      <c r="M180" s="10"/>
      <c r="N180" s="11">
        <v>100000</v>
      </c>
      <c r="O180" s="11">
        <f>30000</f>
        <v>30000</v>
      </c>
      <c r="P180" s="11">
        <f>1800000+100000</f>
        <v>1900000</v>
      </c>
      <c r="Q180" s="11">
        <f>60000+50000</f>
        <v>110000</v>
      </c>
      <c r="R180" s="12" t="e">
        <f>N180*100%/#REF!</f>
        <v>#REF!</v>
      </c>
      <c r="S180" s="45" t="s">
        <v>451</v>
      </c>
    </row>
    <row r="181" spans="1:19" ht="76.5" hidden="1" x14ac:dyDescent="0.2">
      <c r="A181" s="27">
        <v>43427</v>
      </c>
      <c r="B181" s="33">
        <v>14.35</v>
      </c>
      <c r="C181" s="8"/>
      <c r="D181" s="8"/>
      <c r="E181" s="22" t="s">
        <v>25</v>
      </c>
      <c r="F181" s="23" t="s">
        <v>26</v>
      </c>
      <c r="G181" s="24"/>
      <c r="H181" s="10"/>
      <c r="I181" s="24"/>
      <c r="J181" s="24"/>
      <c r="K181" s="24">
        <v>5300000</v>
      </c>
      <c r="L181" s="24"/>
      <c r="M181" s="24"/>
      <c r="N181" s="42">
        <f>140000+140000+3700000</f>
        <v>3980000</v>
      </c>
      <c r="O181" s="24"/>
      <c r="P181" s="24"/>
      <c r="Q181" s="24"/>
      <c r="R181" s="25"/>
      <c r="S181" s="45" t="s">
        <v>460</v>
      </c>
    </row>
    <row r="182" spans="1:19" ht="116.25" hidden="1" customHeight="1" x14ac:dyDescent="0.2">
      <c r="A182" s="27">
        <v>43427</v>
      </c>
      <c r="B182" s="33">
        <v>14.4</v>
      </c>
      <c r="C182" s="8"/>
      <c r="D182" s="8"/>
      <c r="E182" s="17" t="s">
        <v>353</v>
      </c>
      <c r="F182" s="26" t="s">
        <v>354</v>
      </c>
      <c r="G182" s="55">
        <f>10000+99600+P182</f>
        <v>715110</v>
      </c>
      <c r="H182" s="83"/>
      <c r="I182" s="51"/>
      <c r="J182" s="51"/>
      <c r="K182" s="51"/>
      <c r="L182" s="51"/>
      <c r="M182" s="51"/>
      <c r="N182" s="51"/>
      <c r="O182" s="51" t="s">
        <v>443</v>
      </c>
      <c r="P182" s="51">
        <f>400340+205170</f>
        <v>605510</v>
      </c>
      <c r="Q182" s="51"/>
      <c r="R182" s="21"/>
      <c r="S182" s="45" t="s">
        <v>450</v>
      </c>
    </row>
    <row r="183" spans="1:19" ht="132.75" hidden="1" customHeight="1" x14ac:dyDescent="0.2">
      <c r="A183" s="27">
        <v>43427</v>
      </c>
      <c r="B183" s="33">
        <v>14.45</v>
      </c>
      <c r="C183" s="8"/>
      <c r="D183" s="8"/>
      <c r="E183" s="45" t="s">
        <v>453</v>
      </c>
      <c r="F183" s="26" t="s">
        <v>442</v>
      </c>
      <c r="G183" s="21"/>
      <c r="H183" s="83"/>
      <c r="I183" s="51"/>
      <c r="J183" s="51"/>
      <c r="K183" s="51"/>
      <c r="L183" s="51"/>
      <c r="M183" s="51"/>
      <c r="N183" s="51">
        <v>7135000</v>
      </c>
      <c r="O183" s="51">
        <f>285000+10000</f>
        <v>295000</v>
      </c>
      <c r="P183" s="51">
        <v>1000000</v>
      </c>
      <c r="Q183" s="51"/>
      <c r="R183" s="21"/>
      <c r="S183" s="45" t="s">
        <v>454</v>
      </c>
    </row>
    <row r="184" spans="1:19" ht="25.5" hidden="1" x14ac:dyDescent="0.2">
      <c r="A184" s="27">
        <v>43427</v>
      </c>
      <c r="B184" s="33">
        <v>14.45</v>
      </c>
      <c r="C184" s="8"/>
      <c r="D184" s="8"/>
      <c r="E184" s="45" t="s">
        <v>452</v>
      </c>
      <c r="F184" s="26" t="s">
        <v>442</v>
      </c>
      <c r="G184" s="21"/>
      <c r="H184" s="83"/>
      <c r="I184" s="51"/>
      <c r="J184" s="51"/>
      <c r="K184" s="51"/>
      <c r="L184" s="51"/>
      <c r="M184" s="51"/>
      <c r="N184" s="51"/>
      <c r="O184" s="51">
        <v>10000</v>
      </c>
      <c r="P184" s="51">
        <v>1000000</v>
      </c>
      <c r="Q184" s="51"/>
      <c r="R184" s="21"/>
      <c r="S184" s="45" t="s">
        <v>457</v>
      </c>
    </row>
    <row r="185" spans="1:19" ht="89.25" hidden="1" x14ac:dyDescent="0.2">
      <c r="A185" s="27">
        <v>43427</v>
      </c>
      <c r="B185" s="33">
        <v>14.5</v>
      </c>
      <c r="C185" s="8"/>
      <c r="D185" s="8"/>
      <c r="E185" s="17" t="s">
        <v>265</v>
      </c>
      <c r="F185" s="21" t="s">
        <v>266</v>
      </c>
      <c r="G185" s="51">
        <v>25237500</v>
      </c>
      <c r="H185" s="83"/>
      <c r="I185" s="51"/>
      <c r="J185" s="51"/>
      <c r="K185" s="51"/>
      <c r="L185" s="51"/>
      <c r="M185" s="51"/>
      <c r="N185" s="51"/>
      <c r="O185" s="51">
        <f>G185</f>
        <v>25237500</v>
      </c>
      <c r="P185" s="51"/>
      <c r="Q185" s="51"/>
      <c r="R185" s="21"/>
      <c r="S185" s="45" t="s">
        <v>497</v>
      </c>
    </row>
    <row r="186" spans="1:19" ht="102" hidden="1" x14ac:dyDescent="0.2">
      <c r="A186" s="27">
        <v>43427</v>
      </c>
      <c r="B186" s="33">
        <v>14.55</v>
      </c>
      <c r="C186" s="8"/>
      <c r="D186" s="8"/>
      <c r="E186" s="17" t="s">
        <v>267</v>
      </c>
      <c r="F186" s="21" t="s">
        <v>268</v>
      </c>
      <c r="G186" s="58">
        <v>4206250</v>
      </c>
      <c r="H186" s="83"/>
      <c r="I186" s="51"/>
      <c r="J186" s="51"/>
      <c r="K186" s="51"/>
      <c r="L186" s="51"/>
      <c r="M186" s="51"/>
      <c r="N186" s="51"/>
      <c r="O186" s="51">
        <f>G186</f>
        <v>4206250</v>
      </c>
      <c r="P186" s="51"/>
      <c r="Q186" s="51"/>
      <c r="R186" s="21"/>
      <c r="S186" s="45" t="s">
        <v>496</v>
      </c>
    </row>
    <row r="187" spans="1:19" ht="67.5" hidden="1" customHeight="1" x14ac:dyDescent="0.2">
      <c r="A187" s="27">
        <v>43427</v>
      </c>
      <c r="B187" s="33">
        <v>15</v>
      </c>
      <c r="C187" s="8"/>
      <c r="D187" s="8"/>
      <c r="E187" s="17" t="s">
        <v>269</v>
      </c>
      <c r="F187" s="21" t="s">
        <v>270</v>
      </c>
      <c r="G187" s="58">
        <v>4206250</v>
      </c>
      <c r="H187" s="83"/>
      <c r="I187" s="51"/>
      <c r="J187" s="51"/>
      <c r="K187" s="51"/>
      <c r="L187" s="51"/>
      <c r="M187" s="51"/>
      <c r="N187" s="51"/>
      <c r="O187" s="51">
        <f>G187</f>
        <v>4206250</v>
      </c>
      <c r="P187" s="51"/>
      <c r="Q187" s="51"/>
      <c r="R187" s="21"/>
      <c r="S187" s="45" t="s">
        <v>495</v>
      </c>
    </row>
    <row r="188" spans="1:19" ht="102" hidden="1" x14ac:dyDescent="0.2">
      <c r="A188" s="27">
        <v>43427</v>
      </c>
      <c r="B188" s="33">
        <v>15.05</v>
      </c>
      <c r="C188" s="8"/>
      <c r="D188" s="8"/>
      <c r="E188" s="17" t="s">
        <v>321</v>
      </c>
      <c r="F188" s="26" t="s">
        <v>320</v>
      </c>
      <c r="G188" s="58">
        <v>125514417.59</v>
      </c>
      <c r="H188" s="83"/>
      <c r="I188" s="51"/>
      <c r="J188" s="51"/>
      <c r="K188" s="51"/>
      <c r="L188" s="51"/>
      <c r="M188" s="51"/>
      <c r="N188" s="51"/>
      <c r="O188" s="51">
        <f>98851164+23481484.95+362430.59</f>
        <v>122695079.54000001</v>
      </c>
      <c r="P188" s="51">
        <f>490943.73+2328394.32</f>
        <v>2819338.05</v>
      </c>
      <c r="Q188" s="51"/>
      <c r="R188" s="21"/>
      <c r="S188" s="45" t="s">
        <v>494</v>
      </c>
    </row>
    <row r="189" spans="1:19" ht="38.25" hidden="1" x14ac:dyDescent="0.2">
      <c r="A189" s="27">
        <v>43427</v>
      </c>
      <c r="B189" s="33">
        <v>15.1</v>
      </c>
      <c r="C189" s="8"/>
      <c r="D189" s="8"/>
      <c r="E189" s="17" t="s">
        <v>455</v>
      </c>
      <c r="F189" s="26" t="s">
        <v>345</v>
      </c>
      <c r="G189" s="21"/>
      <c r="H189" s="83"/>
      <c r="I189" s="51"/>
      <c r="J189" s="51"/>
      <c r="K189" s="51"/>
      <c r="L189" s="51"/>
      <c r="M189" s="51"/>
      <c r="N189" s="51"/>
      <c r="O189" s="51">
        <v>690000</v>
      </c>
      <c r="P189" s="51"/>
      <c r="Q189" s="51"/>
      <c r="R189" s="21"/>
      <c r="S189" s="45" t="s">
        <v>456</v>
      </c>
    </row>
    <row r="190" spans="1:19" ht="191.25" hidden="1" x14ac:dyDescent="0.2">
      <c r="A190" s="27">
        <v>43427</v>
      </c>
      <c r="B190" s="33">
        <v>15.15</v>
      </c>
      <c r="C190" s="8"/>
      <c r="D190" s="8"/>
      <c r="E190" s="17" t="s">
        <v>254</v>
      </c>
      <c r="F190" s="26" t="s">
        <v>255</v>
      </c>
      <c r="G190" s="58">
        <v>14015044.060000001</v>
      </c>
      <c r="H190" s="83"/>
      <c r="I190" s="51"/>
      <c r="J190" s="51"/>
      <c r="K190" s="51"/>
      <c r="L190" s="51"/>
      <c r="M190" s="51"/>
      <c r="N190" s="51"/>
      <c r="O190" s="51">
        <f>19681423.57-5666378.91</f>
        <v>14015044.66</v>
      </c>
      <c r="P190" s="51"/>
      <c r="Q190" s="51"/>
      <c r="R190" s="21"/>
      <c r="S190" s="45" t="s">
        <v>498</v>
      </c>
    </row>
    <row r="191" spans="1:19" ht="38.25" hidden="1" x14ac:dyDescent="0.2">
      <c r="A191" s="27" t="s">
        <v>283</v>
      </c>
      <c r="B191" s="33"/>
      <c r="C191" s="8"/>
      <c r="D191" s="8"/>
      <c r="E191" s="17" t="s">
        <v>281</v>
      </c>
      <c r="F191" s="26" t="s">
        <v>282</v>
      </c>
      <c r="G191" s="51">
        <v>3142769.4</v>
      </c>
      <c r="H191" s="83"/>
      <c r="I191" s="51"/>
      <c r="J191" s="51"/>
      <c r="K191" s="51"/>
      <c r="L191" s="51"/>
      <c r="M191" s="51"/>
      <c r="N191" s="51"/>
      <c r="O191" s="51"/>
      <c r="P191" s="51"/>
      <c r="Q191" s="51"/>
      <c r="R191" s="21"/>
      <c r="S191" s="45"/>
    </row>
    <row r="192" spans="1:19" ht="104.25" hidden="1" customHeight="1" x14ac:dyDescent="0.2">
      <c r="A192" s="27" t="s">
        <v>283</v>
      </c>
      <c r="B192" s="33"/>
      <c r="C192" s="8"/>
      <c r="D192" s="8"/>
      <c r="E192" s="17" t="s">
        <v>288</v>
      </c>
      <c r="F192" s="26" t="s">
        <v>289</v>
      </c>
      <c r="G192" s="58">
        <v>3212800</v>
      </c>
      <c r="H192" s="83"/>
      <c r="I192" s="51"/>
      <c r="J192" s="51"/>
      <c r="K192" s="51"/>
      <c r="L192" s="51"/>
      <c r="M192" s="51"/>
      <c r="N192" s="51"/>
      <c r="O192" s="51"/>
      <c r="P192" s="51"/>
      <c r="Q192" s="51"/>
      <c r="R192" s="21"/>
      <c r="S192" s="45"/>
    </row>
    <row r="193" spans="1:19" ht="25.5" hidden="1" x14ac:dyDescent="0.2">
      <c r="A193" s="27" t="s">
        <v>283</v>
      </c>
      <c r="B193" s="33"/>
      <c r="C193" s="8"/>
      <c r="D193" s="8"/>
      <c r="E193" s="17" t="s">
        <v>303</v>
      </c>
      <c r="F193" s="26" t="s">
        <v>304</v>
      </c>
      <c r="G193" s="21"/>
      <c r="H193" s="83"/>
      <c r="I193" s="51"/>
      <c r="J193" s="51"/>
      <c r="K193" s="51"/>
      <c r="L193" s="51"/>
      <c r="M193" s="51"/>
      <c r="N193" s="51"/>
      <c r="O193" s="51"/>
      <c r="P193" s="51"/>
      <c r="Q193" s="51"/>
      <c r="R193" s="21"/>
      <c r="S193" s="45" t="s">
        <v>305</v>
      </c>
    </row>
    <row r="194" spans="1:19" ht="293.25" hidden="1" x14ac:dyDescent="0.2">
      <c r="A194" s="27" t="s">
        <v>283</v>
      </c>
      <c r="B194" s="33"/>
      <c r="C194" s="8"/>
      <c r="D194" s="8"/>
      <c r="E194" s="44" t="s">
        <v>318</v>
      </c>
      <c r="F194" s="26" t="s">
        <v>319</v>
      </c>
      <c r="G194" s="21"/>
      <c r="H194" s="45" t="s">
        <v>374</v>
      </c>
      <c r="I194" s="51"/>
      <c r="J194" s="51"/>
      <c r="K194" s="51"/>
      <c r="L194" s="51"/>
      <c r="M194" s="51"/>
      <c r="N194" s="51"/>
      <c r="O194" s="51"/>
      <c r="P194" s="51"/>
      <c r="Q194" s="51"/>
      <c r="R194" s="21"/>
      <c r="S194" s="45"/>
    </row>
    <row r="195" spans="1:19" ht="102" x14ac:dyDescent="0.2">
      <c r="A195" s="27" t="s">
        <v>502</v>
      </c>
      <c r="B195" s="33"/>
      <c r="C195" s="8">
        <v>43385</v>
      </c>
      <c r="D195" s="8"/>
      <c r="E195" s="45" t="s">
        <v>32</v>
      </c>
      <c r="F195" s="26" t="s">
        <v>31</v>
      </c>
      <c r="G195" s="21"/>
      <c r="H195" s="83"/>
      <c r="I195" s="51"/>
      <c r="J195" s="51"/>
      <c r="K195" s="51"/>
      <c r="L195" s="51"/>
      <c r="M195" s="51"/>
      <c r="N195" s="51">
        <v>275514417.58999997</v>
      </c>
      <c r="O195" s="51"/>
      <c r="P195" s="51"/>
      <c r="Q195" s="51"/>
      <c r="R195" s="21"/>
      <c r="S195" s="45" t="s">
        <v>483</v>
      </c>
    </row>
    <row r="196" spans="1:19" ht="89.25" hidden="1" x14ac:dyDescent="0.2">
      <c r="A196" s="27" t="s">
        <v>503</v>
      </c>
      <c r="B196" s="33">
        <v>15.5</v>
      </c>
      <c r="C196" s="8"/>
      <c r="D196" s="8"/>
      <c r="E196" s="44" t="s">
        <v>484</v>
      </c>
      <c r="F196" s="26" t="s">
        <v>485</v>
      </c>
      <c r="G196" s="51">
        <v>73231.520000000004</v>
      </c>
      <c r="H196" s="83"/>
      <c r="I196" s="51"/>
      <c r="J196" s="51"/>
      <c r="K196" s="51"/>
      <c r="L196" s="51"/>
      <c r="M196" s="51"/>
      <c r="N196" s="51"/>
      <c r="O196" s="51"/>
      <c r="P196" s="51"/>
      <c r="Q196" s="51"/>
      <c r="R196" s="21"/>
      <c r="S196" s="45" t="s">
        <v>486</v>
      </c>
    </row>
    <row r="197" spans="1:19" ht="63.75" hidden="1" x14ac:dyDescent="0.2">
      <c r="A197" s="27"/>
      <c r="B197" s="33">
        <v>11.13</v>
      </c>
      <c r="C197" s="8"/>
      <c r="D197" s="8"/>
      <c r="E197" s="76" t="s">
        <v>461</v>
      </c>
      <c r="F197" s="21" t="s">
        <v>56</v>
      </c>
      <c r="G197" s="21"/>
      <c r="H197" s="45" t="s">
        <v>173</v>
      </c>
      <c r="I197" s="51">
        <v>2181346</v>
      </c>
      <c r="J197" s="51"/>
      <c r="K197" s="51">
        <v>2181346</v>
      </c>
      <c r="L197" s="51" t="s">
        <v>193</v>
      </c>
      <c r="M197" s="51">
        <f>K197</f>
        <v>2181346</v>
      </c>
      <c r="N197" s="51"/>
      <c r="O197" s="51">
        <v>10000</v>
      </c>
      <c r="P197" s="51">
        <f>657021.42+333510.71</f>
        <v>990532.13000000012</v>
      </c>
      <c r="Q197" s="51">
        <v>25000</v>
      </c>
      <c r="R197" s="21"/>
      <c r="S197" s="45" t="s">
        <v>172</v>
      </c>
    </row>
    <row r="198" spans="1:19" ht="51" hidden="1" x14ac:dyDescent="0.2">
      <c r="A198" s="27"/>
      <c r="B198" s="33"/>
      <c r="C198" s="8"/>
      <c r="D198" s="8"/>
      <c r="E198" s="17" t="s">
        <v>333</v>
      </c>
      <c r="F198" s="26" t="s">
        <v>417</v>
      </c>
      <c r="G198" s="21"/>
      <c r="H198" s="45"/>
      <c r="I198" s="51">
        <f>3754792.56+3000000+1145207.44</f>
        <v>7900000</v>
      </c>
      <c r="J198" s="51"/>
      <c r="K198" s="51">
        <v>7900000</v>
      </c>
      <c r="L198" s="51">
        <v>1237650</v>
      </c>
      <c r="M198" s="51">
        <f>K198-L198</f>
        <v>6662350</v>
      </c>
      <c r="N198" s="51"/>
      <c r="O198" s="51"/>
      <c r="P198" s="51"/>
      <c r="Q198" s="51"/>
      <c r="R198" s="21"/>
      <c r="S198" s="45" t="s">
        <v>400</v>
      </c>
    </row>
  </sheetData>
  <autoFilter ref="A5:W198" xr:uid="{00000000-0009-0000-0000-000000000000}">
    <filterColumn colId="2">
      <customFilters>
        <customFilter operator="notEqual" val=" "/>
      </customFilters>
    </filterColumn>
    <sortState xmlns:xlrd2="http://schemas.microsoft.com/office/spreadsheetml/2017/richdata2" ref="A6:W197">
      <sortCondition ref="A5"/>
    </sortState>
  </autoFilter>
  <sortState xmlns:xlrd2="http://schemas.microsoft.com/office/spreadsheetml/2017/richdata2" ref="A6:U198">
    <sortCondition ref="A6:A198"/>
    <sortCondition ref="B6:B198"/>
  </sortState>
  <pageMargins left="0.23622047244094488" right="0.23622047244094488" top="0.55118110236220474" bottom="0.74803149606299213" header="0.31496062992125984" footer="0.31496062992125984"/>
  <pageSetup paperSize="9" scale="35"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workbookViewId="0">
      <selection activeCell="G14" sqref="G14"/>
    </sheetView>
  </sheetViews>
  <sheetFormatPr defaultRowHeight="12" x14ac:dyDescent="0.2"/>
  <cols>
    <col min="1" max="1" width="13.140625" style="36" customWidth="1"/>
    <col min="2" max="2" width="14.5703125" style="36" customWidth="1"/>
    <col min="3" max="3" width="15.85546875" style="36" customWidth="1"/>
    <col min="4" max="4" width="22.85546875" style="36" customWidth="1"/>
    <col min="5" max="5" width="9.140625" style="36"/>
    <col min="6" max="6" width="27.140625" style="36" customWidth="1"/>
    <col min="7" max="7" width="41.28515625" style="36" customWidth="1"/>
    <col min="8" max="16384" width="9.140625" style="36"/>
  </cols>
  <sheetData>
    <row r="1" spans="1:7" x14ac:dyDescent="0.2">
      <c r="A1" s="34" t="s">
        <v>36</v>
      </c>
      <c r="B1" s="34" t="s">
        <v>23</v>
      </c>
      <c r="C1" s="34" t="s">
        <v>24</v>
      </c>
      <c r="D1" s="35" t="s">
        <v>38</v>
      </c>
      <c r="E1" s="35" t="s">
        <v>7</v>
      </c>
      <c r="F1" s="35" t="s">
        <v>0</v>
      </c>
      <c r="G1" s="35" t="s">
        <v>35</v>
      </c>
    </row>
    <row r="2" spans="1:7" x14ac:dyDescent="0.2">
      <c r="A2" s="36" t="s">
        <v>37</v>
      </c>
      <c r="D2" s="36" t="s">
        <v>39</v>
      </c>
      <c r="E2" s="36" t="s">
        <v>40</v>
      </c>
      <c r="F2" s="37">
        <v>1205659</v>
      </c>
      <c r="G2" s="36" t="s">
        <v>41</v>
      </c>
    </row>
    <row r="11" spans="1:7" x14ac:dyDescent="0.2">
      <c r="D11" s="41">
        <f>F2+наблюдение!G14</f>
        <v>1205659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13"/>
  <sheetViews>
    <sheetView topLeftCell="E1" zoomScale="80" zoomScaleNormal="80" workbookViewId="0">
      <pane ySplit="1" topLeftCell="A30" activePane="bottomLeft" state="frozen"/>
      <selection pane="bottomLeft" activeCell="L33" sqref="L33"/>
    </sheetView>
  </sheetViews>
  <sheetFormatPr defaultRowHeight="15" x14ac:dyDescent="0.25"/>
  <cols>
    <col min="1" max="1" width="4.28515625" customWidth="1"/>
    <col min="2" max="2" width="12.140625" customWidth="1"/>
    <col min="3" max="3" width="14.140625" customWidth="1"/>
    <col min="4" max="4" width="35.7109375" customWidth="1"/>
    <col min="5" max="5" width="8.42578125" customWidth="1"/>
    <col min="6" max="6" width="41.85546875" customWidth="1"/>
    <col min="7" max="7" width="17.28515625" customWidth="1"/>
    <col min="8" max="8" width="15" customWidth="1"/>
    <col min="9" max="9" width="16.85546875" customWidth="1"/>
    <col min="10" max="11" width="16.5703125" customWidth="1"/>
    <col min="12" max="12" width="43.28515625" style="18" customWidth="1"/>
    <col min="13" max="13" width="17.42578125" customWidth="1"/>
  </cols>
  <sheetData>
    <row r="1" spans="2:12" x14ac:dyDescent="0.25">
      <c r="B1" s="2" t="s">
        <v>23</v>
      </c>
      <c r="C1" s="2" t="s">
        <v>24</v>
      </c>
      <c r="D1" s="3" t="s">
        <v>4</v>
      </c>
      <c r="E1" s="3" t="s">
        <v>7</v>
      </c>
      <c r="F1" s="40" t="s">
        <v>44</v>
      </c>
      <c r="G1" s="52" t="s">
        <v>659</v>
      </c>
      <c r="H1" s="52" t="s">
        <v>660</v>
      </c>
      <c r="I1" s="47" t="s">
        <v>42</v>
      </c>
      <c r="J1" s="48" t="s">
        <v>43</v>
      </c>
      <c r="K1" s="48" t="s">
        <v>50</v>
      </c>
      <c r="L1" s="18" t="s">
        <v>2</v>
      </c>
    </row>
    <row r="2" spans="2:12" x14ac:dyDescent="0.25">
      <c r="B2" s="4">
        <v>42860</v>
      </c>
      <c r="C2" s="4">
        <v>42860</v>
      </c>
      <c r="D2" s="5" t="s">
        <v>3</v>
      </c>
      <c r="E2" s="5"/>
      <c r="F2" s="82"/>
      <c r="G2" s="50"/>
      <c r="H2" s="50"/>
      <c r="I2" s="50"/>
      <c r="J2" s="50"/>
      <c r="K2" s="50"/>
    </row>
    <row r="3" spans="2:12" x14ac:dyDescent="0.25">
      <c r="B3" s="4">
        <v>43291</v>
      </c>
      <c r="C3" s="4">
        <v>43301</v>
      </c>
      <c r="D3" s="5" t="s">
        <v>5</v>
      </c>
      <c r="E3" s="6"/>
      <c r="F3" s="82"/>
      <c r="G3" s="7"/>
      <c r="H3" s="7"/>
      <c r="I3" s="7"/>
      <c r="J3" s="7"/>
      <c r="K3" s="7"/>
    </row>
    <row r="4" spans="2:12" x14ac:dyDescent="0.25">
      <c r="B4" s="4">
        <v>43316</v>
      </c>
      <c r="C4" s="4">
        <v>43316</v>
      </c>
      <c r="D4" s="5" t="s">
        <v>6</v>
      </c>
      <c r="E4" s="6"/>
      <c r="F4" s="82"/>
      <c r="G4" s="7"/>
      <c r="H4" s="7"/>
      <c r="I4" s="7"/>
      <c r="J4" s="7"/>
      <c r="K4" s="7"/>
    </row>
    <row r="5" spans="2:12" x14ac:dyDescent="0.25">
      <c r="B5" s="4"/>
      <c r="C5" s="4"/>
      <c r="D5" s="19"/>
      <c r="E5" s="6"/>
      <c r="F5" s="82"/>
      <c r="G5" s="7"/>
      <c r="H5" s="7"/>
      <c r="I5" s="7"/>
      <c r="J5" s="7"/>
      <c r="K5" s="7"/>
    </row>
    <row r="6" spans="2:12" x14ac:dyDescent="0.25">
      <c r="B6" s="8">
        <v>43364</v>
      </c>
      <c r="C6" s="8"/>
      <c r="D6" s="106" t="s">
        <v>9</v>
      </c>
      <c r="E6" s="9" t="s">
        <v>8</v>
      </c>
      <c r="F6" s="10"/>
      <c r="G6" s="93"/>
      <c r="H6" s="10"/>
      <c r="I6" s="11">
        <v>4646747.9000000004</v>
      </c>
      <c r="J6" s="11">
        <v>100000</v>
      </c>
      <c r="K6" s="11">
        <v>5500000</v>
      </c>
      <c r="L6" s="18" t="s">
        <v>161</v>
      </c>
    </row>
    <row r="7" spans="2:12" x14ac:dyDescent="0.25">
      <c r="B7" s="8">
        <v>43364</v>
      </c>
      <c r="C7" s="8"/>
      <c r="D7" s="106" t="s">
        <v>11</v>
      </c>
      <c r="E7" s="13" t="s">
        <v>10</v>
      </c>
      <c r="F7" s="10"/>
      <c r="G7" s="10"/>
      <c r="H7" s="10"/>
      <c r="I7" s="11">
        <v>3459203.89</v>
      </c>
      <c r="J7" s="11">
        <v>30000</v>
      </c>
      <c r="K7" s="11">
        <v>1900000</v>
      </c>
      <c r="L7" s="18" t="s">
        <v>161</v>
      </c>
    </row>
    <row r="8" spans="2:12" ht="26.25" x14ac:dyDescent="0.25">
      <c r="B8" s="8">
        <v>43364</v>
      </c>
      <c r="C8" s="8"/>
      <c r="D8" s="106" t="s">
        <v>34</v>
      </c>
      <c r="E8" s="9" t="s">
        <v>12</v>
      </c>
      <c r="F8" s="10"/>
      <c r="G8" s="10"/>
      <c r="H8" s="10"/>
      <c r="I8" s="10">
        <v>4857500</v>
      </c>
      <c r="J8" s="11">
        <v>48000</v>
      </c>
      <c r="K8" s="11">
        <v>500000</v>
      </c>
      <c r="L8" s="18" t="s">
        <v>162</v>
      </c>
    </row>
    <row r="9" spans="2:12" x14ac:dyDescent="0.25">
      <c r="B9" s="8">
        <v>43364</v>
      </c>
      <c r="C9" s="8"/>
      <c r="D9" s="106" t="s">
        <v>14</v>
      </c>
      <c r="E9" s="9" t="s">
        <v>13</v>
      </c>
      <c r="F9" s="10"/>
      <c r="G9" s="10"/>
      <c r="H9" s="10"/>
      <c r="I9" s="11">
        <v>7066800</v>
      </c>
      <c r="J9" s="11">
        <v>100000</v>
      </c>
      <c r="K9" s="11">
        <v>4600000</v>
      </c>
      <c r="L9" s="18" t="s">
        <v>161</v>
      </c>
    </row>
    <row r="10" spans="2:12" ht="78.75" customHeight="1" x14ac:dyDescent="0.25">
      <c r="B10" s="8">
        <v>43364</v>
      </c>
      <c r="C10" s="8"/>
      <c r="D10" s="19" t="s">
        <v>28</v>
      </c>
      <c r="E10" s="26" t="s">
        <v>697</v>
      </c>
      <c r="F10" s="39" t="s">
        <v>48</v>
      </c>
      <c r="G10" s="10">
        <v>5294017.5999999996</v>
      </c>
      <c r="H10" s="10"/>
      <c r="I10" s="11">
        <v>0</v>
      </c>
      <c r="J10" s="11">
        <v>10000</v>
      </c>
      <c r="K10" s="11">
        <v>2002083.87</v>
      </c>
      <c r="L10" s="18" t="s">
        <v>163</v>
      </c>
    </row>
    <row r="11" spans="2:12" ht="88.5" customHeight="1" x14ac:dyDescent="0.25">
      <c r="B11" s="8">
        <v>43364</v>
      </c>
      <c r="C11" s="8"/>
      <c r="D11" s="19" t="s">
        <v>17</v>
      </c>
      <c r="E11" s="23" t="s">
        <v>27</v>
      </c>
      <c r="F11" s="10"/>
      <c r="G11" s="10"/>
      <c r="H11" s="10"/>
      <c r="I11" s="11"/>
      <c r="J11" s="11">
        <v>10000</v>
      </c>
      <c r="K11" s="11">
        <v>1340927.8700000001</v>
      </c>
      <c r="L11" s="18" t="s">
        <v>163</v>
      </c>
    </row>
    <row r="12" spans="2:12" ht="77.25" customHeight="1" x14ac:dyDescent="0.25">
      <c r="B12" s="8">
        <v>43369</v>
      </c>
      <c r="C12" s="8"/>
      <c r="D12" s="107" t="s">
        <v>59</v>
      </c>
      <c r="E12" s="26" t="s">
        <v>60</v>
      </c>
      <c r="F12" s="45" t="s">
        <v>169</v>
      </c>
      <c r="G12" s="7">
        <v>3061725</v>
      </c>
      <c r="H12" s="51"/>
      <c r="I12" s="51"/>
      <c r="J12" s="51"/>
      <c r="K12" s="51"/>
      <c r="L12" s="18" t="s">
        <v>168</v>
      </c>
    </row>
    <row r="13" spans="2:12" ht="115.5" customHeight="1" x14ac:dyDescent="0.25">
      <c r="B13" s="8">
        <v>43369</v>
      </c>
      <c r="C13" s="8"/>
      <c r="D13" s="19" t="s">
        <v>59</v>
      </c>
      <c r="E13" s="26" t="s">
        <v>58</v>
      </c>
      <c r="F13" s="83"/>
      <c r="G13" s="51"/>
      <c r="H13" s="51"/>
      <c r="I13" s="51">
        <v>3277.82</v>
      </c>
      <c r="J13" s="51">
        <v>5000</v>
      </c>
      <c r="K13" s="51">
        <v>604138</v>
      </c>
      <c r="L13" s="18" t="s">
        <v>693</v>
      </c>
    </row>
    <row r="14" spans="2:12" ht="39" x14ac:dyDescent="0.25">
      <c r="B14" s="8">
        <v>43369</v>
      </c>
      <c r="C14" s="8"/>
      <c r="D14" s="19" t="s">
        <v>28</v>
      </c>
      <c r="E14" s="26" t="s">
        <v>51</v>
      </c>
      <c r="F14" s="83"/>
      <c r="G14" s="7">
        <v>5294017.5999999996</v>
      </c>
      <c r="H14" s="51"/>
      <c r="I14" s="51"/>
      <c r="J14" s="51"/>
      <c r="K14" s="51"/>
      <c r="L14" s="18" t="s">
        <v>177</v>
      </c>
    </row>
    <row r="15" spans="2:12" ht="63.75" x14ac:dyDescent="0.25">
      <c r="B15" s="8">
        <v>43376</v>
      </c>
      <c r="C15" s="8"/>
      <c r="D15" s="19" t="s">
        <v>157</v>
      </c>
      <c r="E15" s="26" t="s">
        <v>158</v>
      </c>
      <c r="F15" s="45" t="s">
        <v>181</v>
      </c>
      <c r="G15" s="7">
        <v>9705829.5</v>
      </c>
      <c r="H15" s="51"/>
      <c r="I15" s="51"/>
      <c r="J15" s="51"/>
      <c r="K15" s="51"/>
      <c r="L15" s="18" t="s">
        <v>197</v>
      </c>
    </row>
    <row r="16" spans="2:12" ht="63.75" x14ac:dyDescent="0.25">
      <c r="B16" s="8">
        <v>43376</v>
      </c>
      <c r="C16" s="8"/>
      <c r="D16" s="92" t="s">
        <v>153</v>
      </c>
      <c r="E16" s="26" t="s">
        <v>154</v>
      </c>
      <c r="F16" s="45" t="s">
        <v>189</v>
      </c>
      <c r="G16" s="7">
        <v>5964636</v>
      </c>
      <c r="H16" s="51"/>
      <c r="I16" s="51"/>
      <c r="J16" s="51"/>
      <c r="K16" s="51"/>
      <c r="L16" s="18" t="s">
        <v>197</v>
      </c>
    </row>
    <row r="17" spans="2:13" ht="63.75" x14ac:dyDescent="0.25">
      <c r="B17" s="8">
        <v>43376</v>
      </c>
      <c r="C17" s="8"/>
      <c r="D17" s="19" t="s">
        <v>159</v>
      </c>
      <c r="E17" s="26" t="s">
        <v>160</v>
      </c>
      <c r="F17" s="45" t="s">
        <v>191</v>
      </c>
      <c r="G17" s="7">
        <v>4562501.05</v>
      </c>
      <c r="H17" s="51"/>
      <c r="I17" s="51"/>
      <c r="J17" s="51"/>
      <c r="K17" s="51"/>
      <c r="L17" s="18" t="s">
        <v>197</v>
      </c>
    </row>
    <row r="18" spans="2:13" ht="51" x14ac:dyDescent="0.25">
      <c r="B18" s="8">
        <v>43376</v>
      </c>
      <c r="C18" s="8"/>
      <c r="D18" s="19" t="s">
        <v>144</v>
      </c>
      <c r="E18" s="26" t="s">
        <v>145</v>
      </c>
      <c r="F18" s="45" t="s">
        <v>194</v>
      </c>
      <c r="G18" s="7">
        <v>2950000</v>
      </c>
      <c r="H18" s="51"/>
      <c r="I18" s="51"/>
      <c r="J18" s="51"/>
      <c r="K18" s="51"/>
      <c r="L18" s="18" t="s">
        <v>182</v>
      </c>
    </row>
    <row r="19" spans="2:13" ht="63.75" x14ac:dyDescent="0.25">
      <c r="B19" s="8">
        <v>43376</v>
      </c>
      <c r="C19" s="8"/>
      <c r="D19" s="19" t="s">
        <v>148</v>
      </c>
      <c r="E19" s="26" t="s">
        <v>149</v>
      </c>
      <c r="F19" s="45" t="s">
        <v>195</v>
      </c>
      <c r="G19" s="7">
        <v>5670967</v>
      </c>
      <c r="H19" s="51"/>
      <c r="I19" s="51"/>
      <c r="J19" s="51"/>
      <c r="K19" s="51"/>
      <c r="L19" s="18" t="s">
        <v>196</v>
      </c>
      <c r="M19" s="45" t="s">
        <v>668</v>
      </c>
    </row>
    <row r="20" spans="2:13" ht="63.75" x14ac:dyDescent="0.25">
      <c r="B20" s="8">
        <v>43376</v>
      </c>
      <c r="C20" s="8"/>
      <c r="D20" s="19" t="s">
        <v>142</v>
      </c>
      <c r="E20" s="26" t="s">
        <v>143</v>
      </c>
      <c r="F20" s="45" t="s">
        <v>198</v>
      </c>
      <c r="G20" s="7">
        <v>3286163.8877788293</v>
      </c>
      <c r="H20" s="51"/>
      <c r="I20" s="51"/>
      <c r="J20" s="51"/>
      <c r="K20" s="51"/>
      <c r="L20" s="18" t="s">
        <v>197</v>
      </c>
    </row>
    <row r="21" spans="2:13" ht="90" x14ac:dyDescent="0.25">
      <c r="B21" s="8">
        <v>43376</v>
      </c>
      <c r="C21" s="8"/>
      <c r="D21" s="19" t="s">
        <v>146</v>
      </c>
      <c r="E21" s="26" t="s">
        <v>150</v>
      </c>
      <c r="F21" s="45" t="s">
        <v>183</v>
      </c>
      <c r="G21" s="51"/>
      <c r="H21" s="51"/>
      <c r="I21" s="51"/>
      <c r="J21" s="51">
        <v>10000</v>
      </c>
      <c r="K21" s="51">
        <v>1951446</v>
      </c>
      <c r="L21" s="18" t="s">
        <v>199</v>
      </c>
    </row>
    <row r="22" spans="2:13" ht="63.75" x14ac:dyDescent="0.25">
      <c r="B22" s="8">
        <v>43376</v>
      </c>
      <c r="C22" s="8"/>
      <c r="D22" s="19" t="s">
        <v>76</v>
      </c>
      <c r="E22" s="57" t="s">
        <v>75</v>
      </c>
      <c r="F22" s="45" t="s">
        <v>201</v>
      </c>
      <c r="G22" s="7">
        <v>3050428.2891352936</v>
      </c>
      <c r="H22" s="51"/>
      <c r="I22" s="51"/>
      <c r="J22" s="51"/>
      <c r="K22" s="51"/>
      <c r="L22" s="18" t="s">
        <v>202</v>
      </c>
    </row>
    <row r="23" spans="2:13" ht="51" x14ac:dyDescent="0.25">
      <c r="B23" s="8">
        <v>43376</v>
      </c>
      <c r="C23" s="8"/>
      <c r="D23" s="92" t="s">
        <v>74</v>
      </c>
      <c r="E23" s="26" t="s">
        <v>73</v>
      </c>
      <c r="F23" s="45" t="s">
        <v>185</v>
      </c>
      <c r="G23" s="7">
        <v>2796977.6</v>
      </c>
      <c r="H23" s="51"/>
      <c r="I23" s="51"/>
      <c r="J23" s="51"/>
      <c r="K23" s="51"/>
      <c r="L23" s="18" t="s">
        <v>182</v>
      </c>
    </row>
    <row r="24" spans="2:13" ht="102.75" x14ac:dyDescent="0.25">
      <c r="B24" s="8">
        <v>43376</v>
      </c>
      <c r="C24" s="8"/>
      <c r="D24" s="92" t="s">
        <v>81</v>
      </c>
      <c r="E24" s="26" t="s">
        <v>82</v>
      </c>
      <c r="F24" s="45" t="s">
        <v>203</v>
      </c>
      <c r="G24" s="109">
        <v>3965409</v>
      </c>
      <c r="H24" s="51"/>
      <c r="I24" s="38"/>
      <c r="J24" s="51"/>
      <c r="K24" s="38">
        <v>605470.26</v>
      </c>
      <c r="L24" s="18" t="s">
        <v>204</v>
      </c>
    </row>
    <row r="25" spans="2:13" ht="63.75" x14ac:dyDescent="0.25">
      <c r="B25" s="8">
        <v>43376</v>
      </c>
      <c r="C25" s="8"/>
      <c r="D25" s="92" t="s">
        <v>70</v>
      </c>
      <c r="E25" s="26" t="s">
        <v>69</v>
      </c>
      <c r="F25" s="45" t="s">
        <v>207</v>
      </c>
      <c r="G25" s="7">
        <v>4212794.9887314392</v>
      </c>
      <c r="H25" s="51"/>
      <c r="I25" s="51"/>
      <c r="J25" s="51"/>
      <c r="K25" s="51"/>
      <c r="L25" s="18" t="s">
        <v>210</v>
      </c>
    </row>
    <row r="26" spans="2:13" ht="51" x14ac:dyDescent="0.25">
      <c r="B26" s="8">
        <v>43376</v>
      </c>
      <c r="C26" s="8"/>
      <c r="D26" s="92" t="s">
        <v>134</v>
      </c>
      <c r="E26" s="26" t="s">
        <v>135</v>
      </c>
      <c r="F26" s="45" t="s">
        <v>186</v>
      </c>
      <c r="G26" s="7">
        <v>2561335.2000000002</v>
      </c>
      <c r="H26" s="51"/>
      <c r="I26" s="51"/>
      <c r="J26" s="51"/>
      <c r="K26" s="51"/>
      <c r="L26" s="18" t="s">
        <v>182</v>
      </c>
    </row>
    <row r="27" spans="2:13" ht="63.75" x14ac:dyDescent="0.25">
      <c r="B27" s="8">
        <v>43376</v>
      </c>
      <c r="C27" s="8"/>
      <c r="D27" s="92" t="s">
        <v>130</v>
      </c>
      <c r="E27" s="26" t="s">
        <v>131</v>
      </c>
      <c r="F27" s="45" t="s">
        <v>209</v>
      </c>
      <c r="G27" s="7">
        <v>6338000</v>
      </c>
      <c r="H27" s="51"/>
      <c r="I27" s="51"/>
      <c r="J27" s="51"/>
      <c r="K27" s="51"/>
      <c r="L27" s="18" t="s">
        <v>182</v>
      </c>
    </row>
    <row r="28" spans="2:13" ht="51" x14ac:dyDescent="0.25">
      <c r="B28" s="8">
        <v>43376</v>
      </c>
      <c r="C28" s="8"/>
      <c r="D28" s="92" t="s">
        <v>79</v>
      </c>
      <c r="E28" s="26" t="s">
        <v>80</v>
      </c>
      <c r="F28" s="45" t="s">
        <v>213</v>
      </c>
      <c r="G28" s="7">
        <v>2475958</v>
      </c>
      <c r="H28" s="51"/>
      <c r="I28" s="51"/>
      <c r="J28" s="51"/>
      <c r="K28" s="51"/>
      <c r="L28" s="18" t="s">
        <v>182</v>
      </c>
    </row>
    <row r="29" spans="2:13" ht="63.75" x14ac:dyDescent="0.25">
      <c r="B29" s="8">
        <v>43376</v>
      </c>
      <c r="C29" s="8"/>
      <c r="D29" s="92" t="s">
        <v>78</v>
      </c>
      <c r="E29" s="26" t="s">
        <v>77</v>
      </c>
      <c r="F29" s="45" t="s">
        <v>214</v>
      </c>
      <c r="G29" s="7">
        <v>5337275.74</v>
      </c>
      <c r="H29" s="51"/>
      <c r="I29" s="51"/>
      <c r="J29" s="51"/>
      <c r="K29" s="51"/>
      <c r="L29" s="18" t="s">
        <v>210</v>
      </c>
    </row>
    <row r="30" spans="2:13" ht="63.75" x14ac:dyDescent="0.25">
      <c r="B30" s="8">
        <v>43376</v>
      </c>
      <c r="C30" s="8"/>
      <c r="D30" s="92" t="s">
        <v>118</v>
      </c>
      <c r="E30" s="26" t="s">
        <v>119</v>
      </c>
      <c r="F30" s="45" t="s">
        <v>215</v>
      </c>
      <c r="G30" s="7">
        <v>2930846.34</v>
      </c>
      <c r="H30" s="51"/>
      <c r="I30" s="51"/>
      <c r="J30" s="51"/>
      <c r="K30" s="51"/>
      <c r="L30" s="18" t="s">
        <v>216</v>
      </c>
    </row>
    <row r="31" spans="2:13" ht="63.75" x14ac:dyDescent="0.25">
      <c r="B31" s="8">
        <v>43376</v>
      </c>
      <c r="C31" s="8"/>
      <c r="D31" s="92" t="s">
        <v>140</v>
      </c>
      <c r="E31" s="26" t="s">
        <v>141</v>
      </c>
      <c r="F31" s="45" t="s">
        <v>217</v>
      </c>
      <c r="G31" s="51">
        <v>3918852</v>
      </c>
      <c r="H31" s="51"/>
      <c r="I31" s="51"/>
      <c r="J31" s="51"/>
      <c r="K31" s="51"/>
      <c r="L31" s="18" t="s">
        <v>210</v>
      </c>
    </row>
    <row r="32" spans="2:13" ht="51" x14ac:dyDescent="0.25">
      <c r="B32" s="8">
        <v>43376</v>
      </c>
      <c r="C32" s="8"/>
      <c r="D32" s="92" t="s">
        <v>68</v>
      </c>
      <c r="E32" s="26" t="s">
        <v>67</v>
      </c>
      <c r="F32" s="45" t="s">
        <v>219</v>
      </c>
      <c r="G32" s="51">
        <v>6370000</v>
      </c>
      <c r="H32" s="51"/>
      <c r="I32" s="51"/>
      <c r="J32" s="51"/>
      <c r="K32" s="51"/>
      <c r="L32" s="18" t="s">
        <v>182</v>
      </c>
    </row>
    <row r="33" spans="2:12" ht="204" x14ac:dyDescent="0.25">
      <c r="B33" s="8">
        <v>43376</v>
      </c>
      <c r="C33" s="8"/>
      <c r="D33" s="108" t="s">
        <v>656</v>
      </c>
      <c r="E33" s="26" t="s">
        <v>657</v>
      </c>
      <c r="F33" s="45" t="s">
        <v>658</v>
      </c>
      <c r="G33" s="51">
        <v>3033664.59</v>
      </c>
      <c r="H33" s="51"/>
      <c r="I33" s="51"/>
      <c r="J33" s="51"/>
      <c r="K33" s="51"/>
    </row>
    <row r="34" spans="2:12" ht="51" x14ac:dyDescent="0.25">
      <c r="B34" s="8">
        <v>43376</v>
      </c>
      <c r="C34" s="8"/>
      <c r="D34" s="92" t="s">
        <v>112</v>
      </c>
      <c r="E34" s="26" t="s">
        <v>113</v>
      </c>
      <c r="F34" s="45" t="s">
        <v>221</v>
      </c>
      <c r="G34" s="51">
        <v>3750000</v>
      </c>
      <c r="H34" s="51"/>
      <c r="I34" s="51"/>
      <c r="J34" s="51"/>
      <c r="K34" s="51"/>
      <c r="L34" s="18" t="s">
        <v>182</v>
      </c>
    </row>
    <row r="35" spans="2:12" ht="115.5" x14ac:dyDescent="0.25">
      <c r="B35" s="8">
        <v>43376</v>
      </c>
      <c r="C35" s="8"/>
      <c r="D35" s="92" t="s">
        <v>165</v>
      </c>
      <c r="E35" s="26" t="s">
        <v>166</v>
      </c>
      <c r="F35" s="45" t="s">
        <v>178</v>
      </c>
      <c r="G35" s="51">
        <v>3500000</v>
      </c>
      <c r="H35" s="51"/>
      <c r="I35" s="51"/>
      <c r="J35" s="51"/>
      <c r="K35" s="56">
        <v>563230.36</v>
      </c>
      <c r="L35" s="18" t="s">
        <v>252</v>
      </c>
    </row>
    <row r="36" spans="2:12" ht="51" x14ac:dyDescent="0.25">
      <c r="B36" s="8">
        <v>43376</v>
      </c>
      <c r="C36" s="8"/>
      <c r="D36" s="92" t="s">
        <v>110</v>
      </c>
      <c r="E36" s="26" t="s">
        <v>111</v>
      </c>
      <c r="F36" s="45" t="s">
        <v>224</v>
      </c>
      <c r="G36" s="51">
        <v>3263523</v>
      </c>
      <c r="H36" s="51"/>
      <c r="I36" s="51"/>
      <c r="J36" s="51"/>
      <c r="K36" s="51"/>
      <c r="L36" s="18" t="s">
        <v>182</v>
      </c>
    </row>
    <row r="37" spans="2:12" ht="63.75" x14ac:dyDescent="0.25">
      <c r="B37" s="8">
        <v>43376</v>
      </c>
      <c r="C37" s="8"/>
      <c r="D37" s="92" t="s">
        <v>91</v>
      </c>
      <c r="E37" s="26" t="s">
        <v>92</v>
      </c>
      <c r="F37" s="45" t="s">
        <v>225</v>
      </c>
      <c r="G37" s="51">
        <v>7855000</v>
      </c>
      <c r="H37" s="51"/>
      <c r="I37" s="51"/>
      <c r="J37" s="51"/>
      <c r="K37" s="51"/>
      <c r="L37" s="18" t="s">
        <v>210</v>
      </c>
    </row>
    <row r="38" spans="2:12" ht="90" x14ac:dyDescent="0.25">
      <c r="B38" s="8">
        <v>43376</v>
      </c>
      <c r="C38" s="8"/>
      <c r="D38" s="92" t="s">
        <v>96</v>
      </c>
      <c r="E38" s="26" t="s">
        <v>95</v>
      </c>
      <c r="F38" s="45" t="s">
        <v>418</v>
      </c>
      <c r="G38" s="56">
        <v>6100617</v>
      </c>
      <c r="H38" s="51"/>
      <c r="I38" s="51"/>
      <c r="J38" s="51">
        <v>10000</v>
      </c>
      <c r="K38" s="51">
        <v>900000</v>
      </c>
      <c r="L38" s="18" t="s">
        <v>231</v>
      </c>
    </row>
    <row r="39" spans="2:12" ht="63.75" x14ac:dyDescent="0.25">
      <c r="B39" s="8">
        <v>43376</v>
      </c>
      <c r="C39" s="8"/>
      <c r="D39" s="92" t="s">
        <v>106</v>
      </c>
      <c r="E39" s="26" t="s">
        <v>107</v>
      </c>
      <c r="F39" s="45" t="s">
        <v>232</v>
      </c>
      <c r="G39" s="51">
        <v>7140810</v>
      </c>
      <c r="H39" s="51"/>
      <c r="I39" s="51"/>
      <c r="J39" s="38"/>
      <c r="K39" s="51"/>
      <c r="L39" s="18" t="s">
        <v>234</v>
      </c>
    </row>
    <row r="40" spans="2:12" ht="63.75" x14ac:dyDescent="0.25">
      <c r="B40" s="8">
        <v>43376</v>
      </c>
      <c r="C40" s="8"/>
      <c r="D40" s="92" t="s">
        <v>83</v>
      </c>
      <c r="E40" s="26" t="s">
        <v>84</v>
      </c>
      <c r="F40" s="45" t="s">
        <v>235</v>
      </c>
      <c r="G40" s="51">
        <v>3695593.3</v>
      </c>
      <c r="H40" s="51"/>
      <c r="I40" s="51"/>
      <c r="J40" s="51"/>
      <c r="K40" s="51"/>
      <c r="L40" s="18" t="s">
        <v>210</v>
      </c>
    </row>
    <row r="41" spans="2:12" ht="63.75" x14ac:dyDescent="0.25">
      <c r="B41" s="8">
        <v>43376</v>
      </c>
      <c r="C41" s="8"/>
      <c r="D41" s="92" t="s">
        <v>126</v>
      </c>
      <c r="E41" s="26" t="s">
        <v>127</v>
      </c>
      <c r="F41" s="45" t="s">
        <v>240</v>
      </c>
      <c r="G41" s="51">
        <v>3049614.5</v>
      </c>
      <c r="H41" s="51"/>
      <c r="I41" s="51"/>
      <c r="J41" s="51"/>
      <c r="K41" s="38"/>
      <c r="L41" s="18" t="s">
        <v>210</v>
      </c>
    </row>
    <row r="42" spans="2:12" ht="63.75" x14ac:dyDescent="0.25">
      <c r="B42" s="8">
        <v>43376</v>
      </c>
      <c r="C42" s="8"/>
      <c r="D42" s="92" t="s">
        <v>93</v>
      </c>
      <c r="E42" s="26" t="s">
        <v>94</v>
      </c>
      <c r="F42" s="45" t="s">
        <v>245</v>
      </c>
      <c r="G42" s="51">
        <v>3762485.37</v>
      </c>
      <c r="H42" s="51"/>
      <c r="I42" s="51"/>
      <c r="J42" s="51"/>
      <c r="K42" s="51"/>
      <c r="L42" s="18" t="s">
        <v>210</v>
      </c>
    </row>
    <row r="43" spans="2:12" ht="102" x14ac:dyDescent="0.25">
      <c r="B43" s="8">
        <v>43385</v>
      </c>
      <c r="C43" s="8"/>
      <c r="D43" s="92" t="s">
        <v>367</v>
      </c>
      <c r="E43" s="26" t="s">
        <v>368</v>
      </c>
      <c r="F43" s="45" t="s">
        <v>369</v>
      </c>
      <c r="G43" s="51">
        <v>4149148</v>
      </c>
      <c r="H43" s="51"/>
      <c r="I43" s="51"/>
      <c r="J43" s="51"/>
      <c r="K43" s="51"/>
      <c r="L43" s="18" t="s">
        <v>182</v>
      </c>
    </row>
    <row r="44" spans="2:12" ht="89.25" x14ac:dyDescent="0.25">
      <c r="B44" s="8">
        <v>43385</v>
      </c>
      <c r="C44" s="8"/>
      <c r="D44" s="92" t="s">
        <v>473</v>
      </c>
      <c r="E44" s="26" t="s">
        <v>292</v>
      </c>
      <c r="F44" s="45" t="s">
        <v>492</v>
      </c>
      <c r="G44" s="51">
        <v>2790631.73</v>
      </c>
      <c r="H44" s="51"/>
      <c r="I44" s="51"/>
      <c r="J44" s="51"/>
      <c r="K44" s="51"/>
      <c r="L44" s="18" t="s">
        <v>477</v>
      </c>
    </row>
    <row r="45" spans="2:12" ht="114.75" x14ac:dyDescent="0.25">
      <c r="B45" s="8">
        <v>43385</v>
      </c>
      <c r="C45" s="8"/>
      <c r="D45" s="19" t="s">
        <v>474</v>
      </c>
      <c r="E45" s="26" t="s">
        <v>475</v>
      </c>
      <c r="F45" s="45" t="s">
        <v>476</v>
      </c>
      <c r="G45" s="51"/>
      <c r="H45" s="51"/>
      <c r="I45" s="51"/>
      <c r="J45" s="51"/>
      <c r="K45" s="51"/>
      <c r="L45" s="18" t="s">
        <v>478</v>
      </c>
    </row>
    <row r="46" spans="2:12" ht="89.25" x14ac:dyDescent="0.25">
      <c r="B46" s="8">
        <v>43385</v>
      </c>
      <c r="C46" s="8"/>
      <c r="D46" s="92" t="s">
        <v>301</v>
      </c>
      <c r="E46" s="26" t="s">
        <v>302</v>
      </c>
      <c r="F46" s="45" t="s">
        <v>371</v>
      </c>
      <c r="G46" s="51">
        <v>6457143</v>
      </c>
      <c r="H46" s="51"/>
      <c r="I46" s="51"/>
      <c r="J46" s="51"/>
      <c r="K46" s="51"/>
      <c r="L46" s="18" t="s">
        <v>500</v>
      </c>
    </row>
    <row r="47" spans="2:12" ht="128.25" x14ac:dyDescent="0.25">
      <c r="B47" s="8">
        <v>43385</v>
      </c>
      <c r="C47" s="8"/>
      <c r="D47" s="92" t="s">
        <v>275</v>
      </c>
      <c r="E47" s="26" t="s">
        <v>276</v>
      </c>
      <c r="F47" s="45" t="s">
        <v>377</v>
      </c>
      <c r="G47" s="51">
        <v>5390020</v>
      </c>
      <c r="H47" s="51"/>
      <c r="I47" s="51"/>
      <c r="J47" s="51"/>
      <c r="K47" s="51"/>
      <c r="L47" s="18" t="s">
        <v>375</v>
      </c>
    </row>
    <row r="48" spans="2:12" ht="140.25" x14ac:dyDescent="0.25">
      <c r="B48" s="8">
        <v>43385</v>
      </c>
      <c r="C48" s="8"/>
      <c r="D48" s="92" t="s">
        <v>262</v>
      </c>
      <c r="E48" s="21" t="s">
        <v>263</v>
      </c>
      <c r="F48" s="45" t="s">
        <v>376</v>
      </c>
      <c r="G48" s="51">
        <v>3432370.73</v>
      </c>
      <c r="H48" s="60"/>
      <c r="I48" s="51"/>
      <c r="J48" s="51"/>
      <c r="K48" s="51"/>
      <c r="L48" s="18" t="s">
        <v>378</v>
      </c>
    </row>
    <row r="49" spans="2:12" ht="102" x14ac:dyDescent="0.25">
      <c r="B49" s="8">
        <v>43385</v>
      </c>
      <c r="C49" s="8"/>
      <c r="D49" s="92" t="s">
        <v>361</v>
      </c>
      <c r="E49" s="26" t="s">
        <v>362</v>
      </c>
      <c r="F49" s="75" t="s">
        <v>383</v>
      </c>
      <c r="G49" s="51">
        <v>13423467.949999999</v>
      </c>
      <c r="H49" s="51"/>
      <c r="I49" s="51"/>
      <c r="J49" s="51"/>
      <c r="K49" s="51"/>
      <c r="L49" s="18" t="s">
        <v>389</v>
      </c>
    </row>
    <row r="50" spans="2:12" ht="89.25" x14ac:dyDescent="0.25">
      <c r="B50" s="8">
        <v>43385</v>
      </c>
      <c r="C50" s="8"/>
      <c r="D50" s="92" t="s">
        <v>293</v>
      </c>
      <c r="E50" s="26" t="s">
        <v>661</v>
      </c>
      <c r="F50" s="45" t="s">
        <v>401</v>
      </c>
      <c r="G50" s="51">
        <v>3619045.35</v>
      </c>
      <c r="H50" s="51"/>
      <c r="I50" s="51"/>
      <c r="J50" s="51"/>
      <c r="K50" s="51"/>
      <c r="L50" s="18" t="s">
        <v>402</v>
      </c>
    </row>
    <row r="51" spans="2:12" ht="102" x14ac:dyDescent="0.25">
      <c r="B51" s="8">
        <v>43385</v>
      </c>
      <c r="C51" s="8"/>
      <c r="D51" s="92" t="s">
        <v>350</v>
      </c>
      <c r="E51" s="26" t="s">
        <v>351</v>
      </c>
      <c r="F51" s="45" t="s">
        <v>403</v>
      </c>
      <c r="G51" s="51">
        <v>4955380</v>
      </c>
      <c r="H51" s="51"/>
      <c r="I51" s="51"/>
      <c r="J51" s="51"/>
      <c r="K51" s="51"/>
      <c r="L51" s="18" t="s">
        <v>421</v>
      </c>
    </row>
    <row r="52" spans="2:12" ht="114.75" x14ac:dyDescent="0.25">
      <c r="B52" s="8">
        <v>43385</v>
      </c>
      <c r="C52" s="8"/>
      <c r="D52" s="92" t="s">
        <v>297</v>
      </c>
      <c r="E52" s="26" t="s">
        <v>298</v>
      </c>
      <c r="F52" s="45" t="s">
        <v>373</v>
      </c>
      <c r="G52" s="51">
        <v>2964628</v>
      </c>
      <c r="H52" s="51"/>
      <c r="I52" s="51"/>
      <c r="J52" s="51"/>
      <c r="K52" s="51"/>
      <c r="L52" s="18" t="s">
        <v>404</v>
      </c>
    </row>
    <row r="53" spans="2:12" ht="89.25" x14ac:dyDescent="0.25">
      <c r="B53" s="8">
        <v>43385</v>
      </c>
      <c r="C53" s="8"/>
      <c r="D53" s="92" t="s">
        <v>277</v>
      </c>
      <c r="E53" s="26" t="s">
        <v>298</v>
      </c>
      <c r="F53" s="45" t="s">
        <v>405</v>
      </c>
      <c r="G53" s="51">
        <v>4366086</v>
      </c>
      <c r="H53" s="51"/>
      <c r="I53" s="51"/>
      <c r="J53" s="51"/>
      <c r="K53" s="51"/>
      <c r="L53" s="18" t="s">
        <v>402</v>
      </c>
    </row>
    <row r="54" spans="2:12" ht="140.25" x14ac:dyDescent="0.25">
      <c r="B54" s="8">
        <v>43385</v>
      </c>
      <c r="C54" s="8"/>
      <c r="D54" s="92" t="s">
        <v>346</v>
      </c>
      <c r="E54" s="26" t="s">
        <v>347</v>
      </c>
      <c r="F54" s="45" t="s">
        <v>406</v>
      </c>
      <c r="G54" s="51">
        <v>2600000</v>
      </c>
      <c r="H54" s="51"/>
      <c r="I54" s="51"/>
      <c r="J54" s="51"/>
      <c r="K54" s="51"/>
      <c r="L54" s="18" t="s">
        <v>407</v>
      </c>
    </row>
    <row r="55" spans="2:12" ht="90" x14ac:dyDescent="0.25">
      <c r="B55" s="8">
        <v>43385</v>
      </c>
      <c r="C55" s="8"/>
      <c r="D55" s="92" t="s">
        <v>52</v>
      </c>
      <c r="E55" s="26" t="s">
        <v>53</v>
      </c>
      <c r="F55" s="45" t="s">
        <v>170</v>
      </c>
      <c r="G55" s="51">
        <v>4955380</v>
      </c>
      <c r="H55" s="51"/>
      <c r="I55" s="51"/>
      <c r="J55" s="51">
        <v>10000</v>
      </c>
      <c r="K55" s="51">
        <v>636896.09</v>
      </c>
      <c r="L55" s="18" t="s">
        <v>171</v>
      </c>
    </row>
    <row r="56" spans="2:12" ht="149.25" customHeight="1" x14ac:dyDescent="0.25">
      <c r="B56" s="8">
        <v>43385</v>
      </c>
      <c r="C56" s="8"/>
      <c r="D56" s="92" t="s">
        <v>279</v>
      </c>
      <c r="E56" s="26" t="s">
        <v>280</v>
      </c>
      <c r="F56" s="45" t="s">
        <v>416</v>
      </c>
      <c r="G56" s="104" t="s">
        <v>694</v>
      </c>
      <c r="H56" s="60">
        <v>484719.61000000034</v>
      </c>
      <c r="I56" s="51"/>
      <c r="J56" s="51"/>
      <c r="K56" s="56">
        <v>1692809</v>
      </c>
      <c r="L56" s="18" t="s">
        <v>695</v>
      </c>
    </row>
    <row r="57" spans="2:12" ht="102.75" x14ac:dyDescent="0.25">
      <c r="B57" s="8">
        <v>43385</v>
      </c>
      <c r="C57" s="8"/>
      <c r="D57" s="92" t="s">
        <v>116</v>
      </c>
      <c r="E57" s="26" t="s">
        <v>117</v>
      </c>
      <c r="F57" s="45" t="s">
        <v>208</v>
      </c>
      <c r="G57" s="51">
        <v>5904277</v>
      </c>
      <c r="H57" s="51"/>
      <c r="I57" s="51">
        <v>180600</v>
      </c>
      <c r="J57" s="51"/>
      <c r="K57" s="51">
        <v>3598066.4038000004</v>
      </c>
      <c r="L57" s="18" t="s">
        <v>211</v>
      </c>
    </row>
    <row r="58" spans="2:12" ht="102" x14ac:dyDescent="0.25">
      <c r="B58" s="8">
        <v>43385</v>
      </c>
      <c r="C58" s="8"/>
      <c r="D58" s="92" t="s">
        <v>306</v>
      </c>
      <c r="E58" s="26" t="s">
        <v>307</v>
      </c>
      <c r="F58" s="45" t="s">
        <v>482</v>
      </c>
      <c r="G58" s="51">
        <v>2719674</v>
      </c>
      <c r="H58" s="51"/>
      <c r="I58" s="51"/>
      <c r="J58" s="51"/>
      <c r="K58" s="51"/>
      <c r="L58" s="18" t="s">
        <v>441</v>
      </c>
    </row>
    <row r="59" spans="2:12" ht="114.75" x14ac:dyDescent="0.25">
      <c r="B59" s="8">
        <v>43385</v>
      </c>
      <c r="C59" s="8"/>
      <c r="D59" s="92" t="s">
        <v>343</v>
      </c>
      <c r="E59" s="26" t="s">
        <v>344</v>
      </c>
      <c r="F59" s="45" t="s">
        <v>439</v>
      </c>
      <c r="G59" s="51">
        <v>2993212.8</v>
      </c>
      <c r="H59" s="51"/>
      <c r="I59" s="51"/>
      <c r="J59" s="51"/>
      <c r="K59" s="51"/>
      <c r="L59" s="18" t="s">
        <v>441</v>
      </c>
    </row>
    <row r="60" spans="2:12" ht="102" x14ac:dyDescent="0.25">
      <c r="B60" s="8">
        <v>43385</v>
      </c>
      <c r="C60" s="8"/>
      <c r="D60" s="92" t="s">
        <v>308</v>
      </c>
      <c r="E60" s="26" t="s">
        <v>309</v>
      </c>
      <c r="F60" s="45" t="s">
        <v>440</v>
      </c>
      <c r="G60" s="51">
        <v>3019861.8</v>
      </c>
      <c r="H60" s="51"/>
      <c r="I60" s="51"/>
      <c r="J60" s="51"/>
      <c r="K60" s="51"/>
    </row>
    <row r="61" spans="2:12" ht="90" x14ac:dyDescent="0.25">
      <c r="B61" s="8">
        <v>43385</v>
      </c>
      <c r="C61" s="8"/>
      <c r="D61" s="92" t="s">
        <v>57</v>
      </c>
      <c r="E61" s="21" t="s">
        <v>56</v>
      </c>
      <c r="F61" s="45" t="s">
        <v>173</v>
      </c>
      <c r="G61" s="51">
        <v>2181346</v>
      </c>
      <c r="H61" s="51"/>
      <c r="I61" s="51"/>
      <c r="J61" s="51">
        <v>10000</v>
      </c>
      <c r="K61" s="51">
        <v>990532.13000000012</v>
      </c>
      <c r="L61" s="18" t="s">
        <v>172</v>
      </c>
    </row>
    <row r="62" spans="2:12" ht="41.25" customHeight="1" x14ac:dyDescent="0.25">
      <c r="B62" s="8">
        <v>43385</v>
      </c>
      <c r="C62" s="8"/>
      <c r="D62" s="92" t="s">
        <v>284</v>
      </c>
      <c r="E62" s="26" t="s">
        <v>285</v>
      </c>
      <c r="F62" s="83"/>
      <c r="G62" s="51"/>
      <c r="H62" s="51"/>
      <c r="I62" s="51"/>
      <c r="J62" s="51">
        <v>1070450</v>
      </c>
      <c r="K62" s="51"/>
    </row>
    <row r="63" spans="2:12" ht="153.75" x14ac:dyDescent="0.25">
      <c r="B63" s="8">
        <v>43385</v>
      </c>
      <c r="C63" s="8"/>
      <c r="D63" s="92" t="s">
        <v>363</v>
      </c>
      <c r="E63" s="26" t="s">
        <v>364</v>
      </c>
      <c r="F63" s="83"/>
      <c r="G63" s="51"/>
      <c r="H63" s="51"/>
      <c r="I63" s="56">
        <v>7736512.5700000003</v>
      </c>
      <c r="J63" s="51">
        <v>110000</v>
      </c>
      <c r="K63" s="51">
        <v>1200000</v>
      </c>
      <c r="L63" s="18" t="s">
        <v>487</v>
      </c>
    </row>
    <row r="64" spans="2:12" ht="77.25" x14ac:dyDescent="0.25">
      <c r="B64" s="8">
        <v>43385</v>
      </c>
      <c r="C64" s="8"/>
      <c r="D64" s="92" t="s">
        <v>257</v>
      </c>
      <c r="E64" s="26" t="s">
        <v>256</v>
      </c>
      <c r="F64" s="83"/>
      <c r="G64" s="51"/>
      <c r="H64" s="51"/>
      <c r="I64" s="51"/>
      <c r="J64" s="51">
        <v>1394395.53</v>
      </c>
      <c r="K64" s="51"/>
      <c r="L64" s="18" t="s">
        <v>444</v>
      </c>
    </row>
    <row r="65" spans="2:12" ht="63.75" x14ac:dyDescent="0.25">
      <c r="B65" s="8">
        <v>43376</v>
      </c>
      <c r="C65" s="8"/>
      <c r="D65" s="92" t="s">
        <v>64</v>
      </c>
      <c r="E65" s="26" t="s">
        <v>63</v>
      </c>
      <c r="F65" s="45" t="s">
        <v>180</v>
      </c>
      <c r="G65" s="51">
        <v>4083782.85</v>
      </c>
      <c r="H65" s="91"/>
      <c r="I65" s="51"/>
      <c r="J65" s="51"/>
      <c r="K65" s="51"/>
      <c r="L65" s="18" t="s">
        <v>179</v>
      </c>
    </row>
    <row r="66" spans="2:12" ht="102" x14ac:dyDescent="0.25">
      <c r="B66" s="8">
        <v>43398</v>
      </c>
      <c r="C66" s="8"/>
      <c r="D66" s="92" t="s">
        <v>662</v>
      </c>
      <c r="E66" s="26" t="s">
        <v>127</v>
      </c>
      <c r="F66" s="45" t="s">
        <v>663</v>
      </c>
      <c r="G66" s="51">
        <v>5511300.0499999998</v>
      </c>
      <c r="H66" s="91"/>
      <c r="I66" s="51"/>
      <c r="J66" s="51"/>
      <c r="K66" s="51"/>
    </row>
    <row r="67" spans="2:12" ht="76.5" x14ac:dyDescent="0.25">
      <c r="B67" s="8">
        <v>43398</v>
      </c>
      <c r="C67" s="8"/>
      <c r="D67" s="92" t="s">
        <v>664</v>
      </c>
      <c r="E67" s="26" t="s">
        <v>123</v>
      </c>
      <c r="F67" s="45" t="s">
        <v>665</v>
      </c>
      <c r="G67" s="51">
        <v>5964636</v>
      </c>
      <c r="H67" s="91"/>
      <c r="I67" s="51"/>
      <c r="J67" s="51"/>
      <c r="K67" s="51"/>
    </row>
    <row r="68" spans="2:12" ht="63.75" x14ac:dyDescent="0.25">
      <c r="B68" s="8">
        <v>43398</v>
      </c>
      <c r="C68" s="8"/>
      <c r="D68" s="92" t="s">
        <v>474</v>
      </c>
      <c r="E68" s="26" t="s">
        <v>94</v>
      </c>
      <c r="F68" s="45" t="s">
        <v>666</v>
      </c>
      <c r="G68" s="51">
        <v>2653920.1</v>
      </c>
      <c r="H68" s="51"/>
      <c r="I68" s="51"/>
      <c r="J68" s="51"/>
      <c r="K68" s="51"/>
    </row>
    <row r="69" spans="2:12" ht="77.25" customHeight="1" x14ac:dyDescent="0.25">
      <c r="B69" s="94">
        <v>43376</v>
      </c>
      <c r="C69" s="94"/>
      <c r="D69" s="95" t="s">
        <v>148</v>
      </c>
      <c r="E69" s="96" t="s">
        <v>149</v>
      </c>
      <c r="F69" s="69" t="s">
        <v>667</v>
      </c>
      <c r="G69" s="105" t="s">
        <v>696</v>
      </c>
      <c r="H69" s="97"/>
      <c r="I69" s="97"/>
      <c r="J69" s="97"/>
      <c r="K69" s="97">
        <v>565230.36</v>
      </c>
    </row>
    <row r="70" spans="2:12" ht="102" x14ac:dyDescent="0.25">
      <c r="B70" s="8">
        <v>43420</v>
      </c>
      <c r="C70" s="8"/>
      <c r="D70" s="17" t="s">
        <v>543</v>
      </c>
      <c r="E70" s="26" t="s">
        <v>542</v>
      </c>
      <c r="F70" s="45" t="s">
        <v>544</v>
      </c>
      <c r="G70" s="51">
        <v>5740700</v>
      </c>
      <c r="H70" s="51"/>
      <c r="I70" s="51"/>
      <c r="J70" s="51"/>
      <c r="K70" s="51"/>
      <c r="L70" s="17" t="s">
        <v>669</v>
      </c>
    </row>
    <row r="71" spans="2:12" ht="63.75" x14ac:dyDescent="0.25">
      <c r="B71" s="8">
        <v>43420</v>
      </c>
      <c r="C71" s="8"/>
      <c r="D71" s="44" t="s">
        <v>97</v>
      </c>
      <c r="E71" s="26" t="s">
        <v>98</v>
      </c>
      <c r="F71" s="45" t="s">
        <v>228</v>
      </c>
      <c r="G71" s="51">
        <v>4755406.83</v>
      </c>
      <c r="H71" s="51"/>
      <c r="I71" s="51"/>
      <c r="J71" s="51"/>
      <c r="K71" s="51"/>
      <c r="L71" s="17" t="s">
        <v>670</v>
      </c>
    </row>
    <row r="72" spans="2:12" ht="63.75" x14ac:dyDescent="0.25">
      <c r="B72" s="8">
        <v>43420</v>
      </c>
      <c r="C72" s="8"/>
      <c r="D72" s="44" t="s">
        <v>155</v>
      </c>
      <c r="E72" s="26" t="s">
        <v>156</v>
      </c>
      <c r="F72" s="45" t="s">
        <v>190</v>
      </c>
      <c r="G72" s="51">
        <v>6029183.1299999999</v>
      </c>
      <c r="H72" s="51"/>
      <c r="I72" s="51"/>
      <c r="J72" s="51"/>
      <c r="K72" s="51"/>
      <c r="L72" s="55" t="s">
        <v>671</v>
      </c>
    </row>
    <row r="73" spans="2:12" ht="63.75" x14ac:dyDescent="0.25">
      <c r="B73" s="8">
        <v>43420</v>
      </c>
      <c r="C73" s="8"/>
      <c r="D73" s="44" t="s">
        <v>151</v>
      </c>
      <c r="E73" s="26" t="s">
        <v>152</v>
      </c>
      <c r="F73" s="45" t="s">
        <v>192</v>
      </c>
      <c r="G73" s="51">
        <v>6549758</v>
      </c>
      <c r="H73" s="51"/>
      <c r="I73" s="51"/>
      <c r="K73" s="51"/>
      <c r="L73" s="55"/>
    </row>
    <row r="74" spans="2:12" ht="102" x14ac:dyDescent="0.25">
      <c r="B74" s="8">
        <v>43420</v>
      </c>
      <c r="C74" s="8"/>
      <c r="D74" s="17" t="s">
        <v>521</v>
      </c>
      <c r="E74" s="26" t="s">
        <v>522</v>
      </c>
      <c r="F74" s="45" t="s">
        <v>673</v>
      </c>
      <c r="G74" s="51">
        <v>3865409</v>
      </c>
      <c r="H74" s="51"/>
      <c r="I74" s="51"/>
      <c r="J74" s="51"/>
      <c r="K74" s="51"/>
      <c r="L74" s="55" t="s">
        <v>672</v>
      </c>
    </row>
    <row r="75" spans="2:12" ht="63.75" x14ac:dyDescent="0.25">
      <c r="B75" s="8">
        <v>43420</v>
      </c>
      <c r="C75" s="8"/>
      <c r="D75" s="17" t="s">
        <v>132</v>
      </c>
      <c r="E75" s="26" t="s">
        <v>133</v>
      </c>
      <c r="F75" s="45" t="s">
        <v>205</v>
      </c>
      <c r="G75" s="51">
        <v>3871115</v>
      </c>
      <c r="H75" s="51"/>
      <c r="I75" s="51"/>
      <c r="J75" s="51"/>
      <c r="K75" s="51"/>
      <c r="L75" s="55" t="s">
        <v>672</v>
      </c>
    </row>
    <row r="76" spans="2:12" ht="102" x14ac:dyDescent="0.25">
      <c r="B76" s="8">
        <v>43420</v>
      </c>
      <c r="C76" s="8"/>
      <c r="D76" s="17" t="s">
        <v>628</v>
      </c>
      <c r="E76" s="26" t="s">
        <v>629</v>
      </c>
      <c r="F76" s="45" t="s">
        <v>627</v>
      </c>
      <c r="G76" s="51">
        <f>2100000+1800000</f>
        <v>3900000</v>
      </c>
      <c r="I76" s="51"/>
      <c r="J76" s="51"/>
      <c r="K76" s="51"/>
      <c r="L76" s="55"/>
    </row>
    <row r="77" spans="2:12" ht="102" x14ac:dyDescent="0.25">
      <c r="B77" s="8">
        <v>43420</v>
      </c>
      <c r="C77" s="8"/>
      <c r="D77" s="17" t="s">
        <v>582</v>
      </c>
      <c r="E77" s="26" t="s">
        <v>581</v>
      </c>
      <c r="F77" s="45" t="s">
        <v>583</v>
      </c>
      <c r="G77" s="51">
        <v>5075893.8999999994</v>
      </c>
      <c r="H77" s="51"/>
      <c r="I77" s="51"/>
      <c r="J77" s="51"/>
      <c r="K77" s="51"/>
      <c r="L77" s="18" t="s">
        <v>674</v>
      </c>
    </row>
    <row r="78" spans="2:12" ht="102" x14ac:dyDescent="0.25">
      <c r="B78" s="8">
        <v>43420</v>
      </c>
      <c r="C78" s="8"/>
      <c r="D78" s="17" t="s">
        <v>675</v>
      </c>
      <c r="E78" s="62" t="s">
        <v>600</v>
      </c>
      <c r="F78" s="45" t="s">
        <v>602</v>
      </c>
      <c r="G78" s="51">
        <f>1996977+800000.7</f>
        <v>2796977.7</v>
      </c>
      <c r="I78" s="51"/>
      <c r="J78" s="51"/>
      <c r="K78" s="51"/>
      <c r="L78" s="55"/>
    </row>
    <row r="79" spans="2:12" ht="63.75" x14ac:dyDescent="0.25">
      <c r="B79" s="8">
        <v>43420</v>
      </c>
      <c r="C79" s="8"/>
      <c r="D79" s="17" t="s">
        <v>85</v>
      </c>
      <c r="E79" s="62" t="s">
        <v>86</v>
      </c>
      <c r="F79" s="45" t="s">
        <v>236</v>
      </c>
      <c r="G79" s="51">
        <v>3802409</v>
      </c>
      <c r="H79" s="51"/>
      <c r="I79" s="51">
        <v>469048.27</v>
      </c>
      <c r="J79" s="51"/>
      <c r="K79" s="51"/>
      <c r="L79" s="55" t="s">
        <v>672</v>
      </c>
    </row>
    <row r="80" spans="2:12" ht="73.5" customHeight="1" x14ac:dyDescent="0.25">
      <c r="B80" s="94">
        <v>43420</v>
      </c>
      <c r="C80" s="94"/>
      <c r="D80" s="85" t="s">
        <v>90</v>
      </c>
      <c r="E80" s="96" t="s">
        <v>89</v>
      </c>
      <c r="F80" s="69" t="s">
        <v>243</v>
      </c>
      <c r="G80" s="97">
        <v>4416295.0999999996</v>
      </c>
      <c r="H80" s="97"/>
      <c r="I80" s="97"/>
      <c r="J80" s="97"/>
      <c r="K80" s="97"/>
      <c r="L80" s="103" t="s">
        <v>676</v>
      </c>
    </row>
    <row r="81" spans="2:15" ht="114.75" x14ac:dyDescent="0.25">
      <c r="B81" s="8">
        <v>43420</v>
      </c>
      <c r="C81" s="8"/>
      <c r="D81" s="17" t="s">
        <v>588</v>
      </c>
      <c r="E81" s="26" t="s">
        <v>587</v>
      </c>
      <c r="F81" s="45" t="s">
        <v>589</v>
      </c>
      <c r="G81" s="51">
        <v>4300395.37</v>
      </c>
      <c r="H81" s="51"/>
      <c r="I81" s="51"/>
      <c r="J81" s="91"/>
      <c r="K81" s="51"/>
      <c r="L81" s="17"/>
    </row>
    <row r="82" spans="2:15" ht="127.5" x14ac:dyDescent="0.25">
      <c r="B82" s="8">
        <v>43420</v>
      </c>
      <c r="C82" s="8"/>
      <c r="D82" s="17" t="s">
        <v>610</v>
      </c>
      <c r="E82" s="26" t="s">
        <v>609</v>
      </c>
      <c r="F82" s="45" t="s">
        <v>611</v>
      </c>
      <c r="G82" s="51">
        <v>4727077</v>
      </c>
      <c r="H82" s="51"/>
      <c r="I82" s="51"/>
      <c r="J82" s="51"/>
      <c r="K82" s="51"/>
      <c r="L82" s="55" t="s">
        <v>677</v>
      </c>
    </row>
    <row r="83" spans="2:15" ht="114.75" x14ac:dyDescent="0.25">
      <c r="B83" s="8">
        <v>43420</v>
      </c>
      <c r="C83" s="8"/>
      <c r="D83" s="17" t="s">
        <v>516</v>
      </c>
      <c r="E83" s="26" t="s">
        <v>517</v>
      </c>
      <c r="F83" s="45" t="s">
        <v>518</v>
      </c>
      <c r="G83" s="51">
        <f>800000+740000+453000+701986.5</f>
        <v>2694986.5</v>
      </c>
      <c r="I83" s="51"/>
      <c r="J83" s="51"/>
      <c r="K83" s="51"/>
      <c r="L83" s="17"/>
    </row>
    <row r="84" spans="2:15" ht="140.25" x14ac:dyDescent="0.25">
      <c r="B84" s="8">
        <v>43420</v>
      </c>
      <c r="C84" s="8"/>
      <c r="D84" s="17" t="s">
        <v>527</v>
      </c>
      <c r="E84" s="26" t="s">
        <v>528</v>
      </c>
      <c r="F84" s="45" t="s">
        <v>679</v>
      </c>
      <c r="G84" s="51">
        <f>8144565.1-249000.15+191842.35</f>
        <v>8087407.2999999989</v>
      </c>
      <c r="H84" s="51"/>
      <c r="I84" s="51"/>
      <c r="J84" s="51"/>
      <c r="K84" s="51"/>
      <c r="L84" s="17" t="s">
        <v>678</v>
      </c>
    </row>
    <row r="85" spans="2:15" ht="114.75" x14ac:dyDescent="0.25">
      <c r="B85" s="8">
        <v>43420</v>
      </c>
      <c r="C85" s="8"/>
      <c r="D85" s="17" t="s">
        <v>549</v>
      </c>
      <c r="E85" s="26" t="s">
        <v>548</v>
      </c>
      <c r="F85" s="45" t="s">
        <v>550</v>
      </c>
      <c r="G85" s="51">
        <v>6015000</v>
      </c>
      <c r="H85" s="51"/>
      <c r="I85" s="51"/>
      <c r="J85" s="51"/>
      <c r="K85" s="51"/>
      <c r="L85" s="55"/>
    </row>
    <row r="86" spans="2:15" ht="102" x14ac:dyDescent="0.25">
      <c r="B86" s="8">
        <v>43420</v>
      </c>
      <c r="C86" s="8"/>
      <c r="D86" s="17" t="s">
        <v>680</v>
      </c>
      <c r="E86" s="26" t="s">
        <v>604</v>
      </c>
      <c r="F86" s="45" t="s">
        <v>605</v>
      </c>
      <c r="G86" s="51">
        <f>1631761+1631762</f>
        <v>3263523</v>
      </c>
      <c r="H86" s="91"/>
      <c r="I86" s="51"/>
      <c r="J86" s="51"/>
      <c r="K86" s="51"/>
      <c r="L86" s="55"/>
    </row>
    <row r="87" spans="2:15" ht="102" x14ac:dyDescent="0.25">
      <c r="B87" s="8">
        <v>43420</v>
      </c>
      <c r="C87" s="8"/>
      <c r="D87" s="17" t="s">
        <v>619</v>
      </c>
      <c r="E87" s="26" t="s">
        <v>618</v>
      </c>
      <c r="F87" s="45" t="s">
        <v>620</v>
      </c>
      <c r="G87" s="51">
        <v>4100532</v>
      </c>
      <c r="H87" s="91"/>
      <c r="I87" s="51"/>
      <c r="J87" s="51"/>
      <c r="K87" s="51"/>
      <c r="L87" s="17"/>
    </row>
    <row r="88" spans="2:15" ht="114.75" x14ac:dyDescent="0.25">
      <c r="B88" s="8">
        <v>43420</v>
      </c>
      <c r="C88" s="8"/>
      <c r="D88" s="17" t="s">
        <v>530</v>
      </c>
      <c r="E88" s="26" t="s">
        <v>531</v>
      </c>
      <c r="F88" s="45" t="s">
        <v>532</v>
      </c>
      <c r="G88" s="51">
        <f>4324000+1078000</f>
        <v>5402000</v>
      </c>
      <c r="I88" s="51"/>
      <c r="J88" s="51"/>
      <c r="K88" s="51"/>
      <c r="L88" s="17"/>
    </row>
    <row r="89" spans="2:15" ht="102" x14ac:dyDescent="0.25">
      <c r="B89" s="8">
        <v>43420</v>
      </c>
      <c r="C89" s="8"/>
      <c r="D89" s="17" t="s">
        <v>598</v>
      </c>
      <c r="E89" s="26" t="s">
        <v>597</v>
      </c>
      <c r="F89" s="45" t="s">
        <v>599</v>
      </c>
      <c r="G89" s="51">
        <v>7410000</v>
      </c>
      <c r="I89" s="51"/>
      <c r="J89" s="51"/>
      <c r="K89" s="51"/>
      <c r="L89" s="17"/>
    </row>
    <row r="90" spans="2:15" ht="114.75" x14ac:dyDescent="0.25">
      <c r="B90" s="8">
        <v>43420</v>
      </c>
      <c r="C90" s="8"/>
      <c r="D90" s="44" t="s">
        <v>558</v>
      </c>
      <c r="E90" s="26" t="s">
        <v>557</v>
      </c>
      <c r="F90" s="45" t="s">
        <v>559</v>
      </c>
      <c r="G90" s="24">
        <v>16183338.1</v>
      </c>
      <c r="H90" s="51"/>
      <c r="I90" s="51"/>
      <c r="J90" s="51"/>
      <c r="K90" s="51"/>
      <c r="L90" s="17" t="s">
        <v>681</v>
      </c>
    </row>
    <row r="91" spans="2:15" ht="102" x14ac:dyDescent="0.25">
      <c r="B91" s="8">
        <v>43420</v>
      </c>
      <c r="C91" s="8"/>
      <c r="D91" s="17" t="s">
        <v>513</v>
      </c>
      <c r="E91" s="26" t="s">
        <v>514</v>
      </c>
      <c r="F91" s="45" t="s">
        <v>515</v>
      </c>
      <c r="G91" s="24">
        <v>5975943</v>
      </c>
      <c r="H91" s="51"/>
      <c r="I91" s="51"/>
      <c r="J91" s="51"/>
      <c r="K91" s="51"/>
      <c r="L91" s="55" t="s">
        <v>682</v>
      </c>
    </row>
    <row r="92" spans="2:15" ht="178.5" x14ac:dyDescent="0.25">
      <c r="B92" s="8">
        <v>43420</v>
      </c>
      <c r="C92" s="8"/>
      <c r="D92" s="44" t="s">
        <v>504</v>
      </c>
      <c r="E92" s="26" t="s">
        <v>505</v>
      </c>
      <c r="F92" s="45" t="s">
        <v>506</v>
      </c>
      <c r="G92" s="24">
        <v>7419795</v>
      </c>
      <c r="H92" s="51"/>
      <c r="I92" s="51"/>
      <c r="J92" s="51"/>
      <c r="L92" s="55" t="s">
        <v>683</v>
      </c>
    </row>
    <row r="93" spans="2:15" x14ac:dyDescent="0.25">
      <c r="B93" s="8">
        <v>43420</v>
      </c>
      <c r="C93" s="8"/>
      <c r="D93" s="44" t="s">
        <v>61</v>
      </c>
      <c r="E93" s="26" t="s">
        <v>62</v>
      </c>
      <c r="F93" s="21"/>
      <c r="G93" s="51">
        <v>3360321</v>
      </c>
      <c r="H93" s="51"/>
      <c r="I93" s="51"/>
      <c r="J93" s="51">
        <v>108822</v>
      </c>
      <c r="K93" s="51">
        <v>30000</v>
      </c>
      <c r="L93" s="55" t="s">
        <v>684</v>
      </c>
    </row>
    <row r="94" spans="2:15" ht="114.75" x14ac:dyDescent="0.25">
      <c r="B94" s="8">
        <v>43420</v>
      </c>
      <c r="C94" s="8"/>
      <c r="D94" s="44" t="s">
        <v>685</v>
      </c>
      <c r="E94" s="26" t="s">
        <v>352</v>
      </c>
      <c r="F94" s="45" t="s">
        <v>422</v>
      </c>
      <c r="G94" s="98">
        <v>8288500</v>
      </c>
      <c r="H94" s="51"/>
      <c r="I94" s="51"/>
      <c r="J94" s="51"/>
      <c r="K94" s="51"/>
      <c r="L94" s="55" t="s">
        <v>684</v>
      </c>
    </row>
    <row r="95" spans="2:15" ht="76.5" x14ac:dyDescent="0.25">
      <c r="B95" s="8">
        <v>43420</v>
      </c>
      <c r="C95" s="8"/>
      <c r="D95" s="44" t="s">
        <v>65</v>
      </c>
      <c r="E95" s="26" t="s">
        <v>66</v>
      </c>
      <c r="F95" s="45" t="s">
        <v>176</v>
      </c>
      <c r="G95" s="51">
        <v>2889138.7</v>
      </c>
      <c r="I95" s="51"/>
      <c r="J95" s="51"/>
      <c r="K95" s="51"/>
      <c r="L95" s="17"/>
    </row>
    <row r="96" spans="2:15" ht="114.75" x14ac:dyDescent="0.25">
      <c r="B96" s="8">
        <v>43420</v>
      </c>
      <c r="C96" s="8"/>
      <c r="D96" s="44" t="s">
        <v>341</v>
      </c>
      <c r="E96" s="26" t="s">
        <v>342</v>
      </c>
      <c r="F96" s="45" t="s">
        <v>686</v>
      </c>
      <c r="G96" s="51">
        <v>4236478.33</v>
      </c>
      <c r="H96" s="51"/>
      <c r="I96" s="51"/>
      <c r="J96" s="51"/>
      <c r="K96" s="51"/>
      <c r="L96" s="55" t="s">
        <v>672</v>
      </c>
      <c r="M96" s="51"/>
      <c r="N96" s="51"/>
      <c r="O96" s="51"/>
    </row>
    <row r="97" spans="2:13" ht="102" x14ac:dyDescent="0.25">
      <c r="B97" s="8">
        <v>43420</v>
      </c>
      <c r="C97" s="8"/>
      <c r="D97" s="44" t="s">
        <v>687</v>
      </c>
      <c r="E97" s="26" t="s">
        <v>630</v>
      </c>
      <c r="F97" s="45" t="s">
        <v>688</v>
      </c>
      <c r="G97" s="51">
        <v>4793645.7</v>
      </c>
      <c r="H97" s="51"/>
      <c r="I97" s="51"/>
      <c r="J97" s="51"/>
      <c r="K97" s="51"/>
      <c r="L97" s="55" t="s">
        <v>672</v>
      </c>
    </row>
    <row r="98" spans="2:13" ht="25.5" x14ac:dyDescent="0.25">
      <c r="B98" s="8">
        <v>43427</v>
      </c>
      <c r="C98" s="8"/>
      <c r="D98" s="99" t="s">
        <v>20</v>
      </c>
      <c r="E98" s="22" t="s">
        <v>447</v>
      </c>
      <c r="F98" s="45"/>
      <c r="G98" s="51"/>
      <c r="H98" s="51"/>
      <c r="I98" s="51"/>
      <c r="J98" s="51"/>
      <c r="K98" s="51"/>
      <c r="L98" s="17"/>
    </row>
    <row r="99" spans="2:13" ht="89.25" x14ac:dyDescent="0.25">
      <c r="B99" s="8">
        <v>43427</v>
      </c>
      <c r="C99" s="8"/>
      <c r="D99" s="45" t="s">
        <v>19</v>
      </c>
      <c r="E99" s="26" t="s">
        <v>29</v>
      </c>
      <c r="F99" s="39" t="s">
        <v>45</v>
      </c>
      <c r="G99" s="91"/>
      <c r="H99" s="39"/>
      <c r="I99" s="39"/>
      <c r="J99" s="11">
        <f>20000*2</f>
        <v>40000</v>
      </c>
      <c r="K99" s="11">
        <f>(403203.5+221601.75)*2</f>
        <v>1249610.5</v>
      </c>
      <c r="L99" s="39"/>
      <c r="M99" s="100"/>
    </row>
    <row r="100" spans="2:13" x14ac:dyDescent="0.25">
      <c r="B100" s="8">
        <v>43427</v>
      </c>
      <c r="C100" s="8"/>
      <c r="D100" s="101" t="s">
        <v>453</v>
      </c>
      <c r="E100" s="26" t="s">
        <v>442</v>
      </c>
      <c r="F100" s="45"/>
      <c r="G100" s="51"/>
      <c r="H100" s="51"/>
      <c r="I100" s="51">
        <v>7135000</v>
      </c>
      <c r="J100" s="51">
        <f>285000+10000</f>
        <v>295000</v>
      </c>
      <c r="K100" s="51">
        <v>1000000</v>
      </c>
      <c r="L100" s="17"/>
    </row>
    <row r="101" spans="2:13" x14ac:dyDescent="0.25">
      <c r="B101" s="8">
        <v>43427</v>
      </c>
      <c r="C101" s="8"/>
      <c r="D101" s="101" t="s">
        <v>452</v>
      </c>
      <c r="E101" s="26" t="s">
        <v>442</v>
      </c>
      <c r="F101" s="45"/>
      <c r="G101" s="51"/>
      <c r="H101" s="51"/>
      <c r="I101" s="51"/>
      <c r="J101" s="51">
        <v>10000</v>
      </c>
      <c r="K101" s="51">
        <v>1000000</v>
      </c>
      <c r="L101" s="17"/>
    </row>
    <row r="102" spans="2:13" ht="26.25" x14ac:dyDescent="0.25">
      <c r="B102" s="8">
        <v>43427</v>
      </c>
      <c r="C102" s="91"/>
      <c r="D102" s="102" t="s">
        <v>455</v>
      </c>
      <c r="E102" s="26" t="s">
        <v>345</v>
      </c>
      <c r="F102" s="91"/>
      <c r="G102" s="91"/>
      <c r="H102" s="91"/>
      <c r="I102" s="91"/>
      <c r="J102" s="51">
        <v>690000</v>
      </c>
      <c r="K102" s="91"/>
      <c r="L102" s="17"/>
    </row>
    <row r="103" spans="2:13" x14ac:dyDescent="0.25">
      <c r="B103" s="8">
        <v>43427</v>
      </c>
      <c r="C103" s="91"/>
      <c r="D103" s="102" t="s">
        <v>689</v>
      </c>
      <c r="E103" s="26" t="s">
        <v>690</v>
      </c>
      <c r="F103" s="91"/>
      <c r="G103" s="91"/>
      <c r="H103" s="91"/>
      <c r="I103" s="91"/>
      <c r="J103" s="91"/>
      <c r="K103" s="91"/>
      <c r="L103" s="17"/>
    </row>
    <row r="104" spans="2:13" x14ac:dyDescent="0.25">
      <c r="B104" s="8">
        <v>43427</v>
      </c>
      <c r="C104" s="91"/>
      <c r="D104" s="17" t="s">
        <v>691</v>
      </c>
      <c r="E104" s="26" t="s">
        <v>692</v>
      </c>
      <c r="F104" s="91"/>
      <c r="G104" s="91"/>
      <c r="H104" s="91"/>
      <c r="I104" s="51">
        <v>375000</v>
      </c>
      <c r="J104" s="51"/>
      <c r="K104" s="51">
        <v>921009.58</v>
      </c>
      <c r="L104" s="17"/>
    </row>
    <row r="105" spans="2:13" x14ac:dyDescent="0.25">
      <c r="B105" s="91"/>
      <c r="C105" s="91"/>
      <c r="D105" s="91"/>
      <c r="E105" s="91"/>
      <c r="F105" s="91"/>
      <c r="G105" s="91"/>
      <c r="H105" s="91"/>
      <c r="I105" s="91"/>
      <c r="J105" s="91"/>
      <c r="K105" s="91"/>
      <c r="L105" s="17"/>
    </row>
    <row r="106" spans="2:13" x14ac:dyDescent="0.25">
      <c r="B106" s="91"/>
      <c r="C106" s="91"/>
      <c r="D106" s="91"/>
      <c r="E106" s="91"/>
      <c r="F106" s="91"/>
      <c r="G106" s="91"/>
      <c r="H106" s="91"/>
      <c r="I106" s="91"/>
      <c r="J106" s="91"/>
      <c r="K106" s="91"/>
      <c r="L106" s="17"/>
    </row>
    <row r="113" spans="7:7" customFormat="1" x14ac:dyDescent="0.25">
      <c r="G113" s="68">
        <f>SUM(G6:G110)</f>
        <v>378985582.57564557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917"/>
  <sheetViews>
    <sheetView tabSelected="1" zoomScale="90" zoomScaleNormal="90" workbookViewId="0">
      <pane xSplit="6" ySplit="1" topLeftCell="G44" activePane="bottomRight" state="frozen"/>
      <selection pane="topRight" activeCell="G1" sqref="G1"/>
      <selection pane="bottomLeft" activeCell="A2" sqref="A2"/>
      <selection pane="bottomRight" activeCell="AD45" sqref="AD45"/>
    </sheetView>
  </sheetViews>
  <sheetFormatPr defaultRowHeight="12.75" x14ac:dyDescent="0.25"/>
  <cols>
    <col min="1" max="1" width="6.42578125" style="110" customWidth="1"/>
    <col min="2" max="2" width="0.140625" style="111" customWidth="1"/>
    <col min="3" max="3" width="12.28515625" style="110" hidden="1" customWidth="1"/>
    <col min="4" max="4" width="7.7109375" style="110" hidden="1" customWidth="1"/>
    <col min="5" max="5" width="10.7109375" style="110" hidden="1" customWidth="1"/>
    <col min="6" max="6" width="18.140625" style="110" customWidth="1"/>
    <col min="7" max="7" width="24.140625" style="110" hidden="1" customWidth="1"/>
    <col min="8" max="8" width="0.140625" style="110" customWidth="1"/>
    <col min="9" max="9" width="21.28515625" style="110" hidden="1" customWidth="1"/>
    <col min="10" max="10" width="18.85546875" style="110" hidden="1" customWidth="1"/>
    <col min="11" max="11" width="15.5703125" style="110" hidden="1" customWidth="1"/>
    <col min="12" max="12" width="27.85546875" style="110" hidden="1" customWidth="1"/>
    <col min="13" max="13" width="41.85546875" style="110" customWidth="1"/>
    <col min="14" max="14" width="20.5703125" style="110" customWidth="1"/>
    <col min="15" max="15" width="21.7109375" style="110" hidden="1" customWidth="1"/>
    <col min="16" max="16" width="0.42578125" style="110" hidden="1" customWidth="1"/>
    <col min="17" max="17" width="19.42578125" style="114" hidden="1" customWidth="1"/>
    <col min="18" max="18" width="19.42578125" style="115" hidden="1" customWidth="1"/>
    <col min="19" max="19" width="19.42578125" style="116" hidden="1" customWidth="1"/>
    <col min="20" max="21" width="19.42578125" style="110" customWidth="1"/>
    <col min="22" max="22" width="0.28515625" style="115" customWidth="1"/>
    <col min="23" max="23" width="16.5703125" style="116" hidden="1" customWidth="1"/>
    <col min="24" max="24" width="16.5703125" style="114" hidden="1" customWidth="1"/>
    <col min="25" max="26" width="43.28515625" style="110" hidden="1" customWidth="1"/>
    <col min="27" max="27" width="17.140625" style="110" bestFit="1" customWidth="1"/>
    <col min="28" max="28" width="17.28515625" style="110" customWidth="1"/>
    <col min="29" max="30" width="9.140625" style="110"/>
    <col min="31" max="31" width="15.42578125" style="110" customWidth="1"/>
    <col min="32" max="32" width="18.140625" style="110" customWidth="1"/>
    <col min="33" max="33" width="15" style="110" bestFit="1" customWidth="1"/>
    <col min="34" max="16384" width="9.140625" style="110"/>
  </cols>
  <sheetData>
    <row r="1" spans="1:26" ht="190.5" customHeight="1" x14ac:dyDescent="0.25">
      <c r="A1" s="119" t="s">
        <v>7</v>
      </c>
      <c r="B1" s="120" t="s">
        <v>716</v>
      </c>
      <c r="C1" s="121" t="s">
        <v>698</v>
      </c>
      <c r="D1" s="121" t="s">
        <v>715</v>
      </c>
      <c r="E1" s="121" t="s">
        <v>699</v>
      </c>
      <c r="F1" s="119" t="s">
        <v>700</v>
      </c>
      <c r="G1" s="121" t="s">
        <v>701</v>
      </c>
      <c r="H1" s="121" t="s">
        <v>702</v>
      </c>
      <c r="I1" s="121" t="s">
        <v>703</v>
      </c>
      <c r="J1" s="121" t="s">
        <v>704</v>
      </c>
      <c r="K1" s="121" t="s">
        <v>705</v>
      </c>
      <c r="L1" s="121" t="s">
        <v>706</v>
      </c>
      <c r="M1" s="121" t="s">
        <v>707</v>
      </c>
      <c r="N1" s="122" t="s">
        <v>708</v>
      </c>
      <c r="O1" s="122" t="s">
        <v>709</v>
      </c>
      <c r="P1" s="122" t="s">
        <v>720</v>
      </c>
      <c r="Q1" s="122" t="s">
        <v>710</v>
      </c>
      <c r="R1" s="122" t="s">
        <v>711</v>
      </c>
      <c r="S1" s="122" t="s">
        <v>717</v>
      </c>
      <c r="T1" s="122" t="s">
        <v>712</v>
      </c>
      <c r="U1" s="122" t="s">
        <v>713</v>
      </c>
      <c r="V1" s="122" t="s">
        <v>714</v>
      </c>
      <c r="W1" s="122" t="s">
        <v>718</v>
      </c>
      <c r="X1" s="122" t="s">
        <v>719</v>
      </c>
      <c r="Y1" s="123" t="s">
        <v>2</v>
      </c>
      <c r="Z1" s="123" t="s">
        <v>726</v>
      </c>
    </row>
    <row r="2" spans="1:26" ht="96" x14ac:dyDescent="0.25">
      <c r="A2" s="124">
        <v>1</v>
      </c>
      <c r="B2" s="124">
        <v>1</v>
      </c>
      <c r="C2" s="125">
        <v>43965</v>
      </c>
      <c r="D2" s="126">
        <v>1</v>
      </c>
      <c r="E2" s="127">
        <v>1</v>
      </c>
      <c r="F2" s="127" t="s">
        <v>727</v>
      </c>
      <c r="G2" s="127" t="s">
        <v>728</v>
      </c>
      <c r="H2" s="127" t="s">
        <v>730</v>
      </c>
      <c r="I2" s="127" t="s">
        <v>730</v>
      </c>
      <c r="J2" s="124"/>
      <c r="K2" s="124"/>
      <c r="L2" s="127" t="s">
        <v>732</v>
      </c>
      <c r="M2" s="128" t="s">
        <v>733</v>
      </c>
      <c r="N2" s="129">
        <v>2562546</v>
      </c>
      <c r="O2" s="130"/>
      <c r="P2" s="131"/>
      <c r="Q2" s="131"/>
      <c r="R2" s="131"/>
      <c r="S2" s="131"/>
      <c r="T2" s="124" t="s">
        <v>732</v>
      </c>
      <c r="U2" s="132">
        <v>42704</v>
      </c>
      <c r="V2" s="131"/>
      <c r="W2" s="131"/>
      <c r="X2" s="131"/>
      <c r="Y2" s="124" t="s">
        <v>1015</v>
      </c>
      <c r="Z2" s="124" t="s">
        <v>729</v>
      </c>
    </row>
    <row r="3" spans="1:26" ht="96" x14ac:dyDescent="0.25">
      <c r="A3" s="124">
        <v>2</v>
      </c>
      <c r="B3" s="124">
        <v>1</v>
      </c>
      <c r="C3" s="125">
        <v>43819</v>
      </c>
      <c r="D3" s="133">
        <v>2</v>
      </c>
      <c r="E3" s="127" t="s">
        <v>721</v>
      </c>
      <c r="F3" s="127" t="s">
        <v>734</v>
      </c>
      <c r="G3" s="127" t="s">
        <v>743</v>
      </c>
      <c r="H3" s="127" t="s">
        <v>739</v>
      </c>
      <c r="I3" s="127" t="s">
        <v>739</v>
      </c>
      <c r="J3" s="124"/>
      <c r="K3" s="124"/>
      <c r="L3" s="127" t="s">
        <v>738</v>
      </c>
      <c r="M3" s="128" t="s">
        <v>875</v>
      </c>
      <c r="N3" s="130">
        <v>653400</v>
      </c>
      <c r="O3" s="130"/>
      <c r="P3" s="131"/>
      <c r="Q3" s="131"/>
      <c r="R3" s="131"/>
      <c r="S3" s="131"/>
      <c r="T3" s="124" t="s">
        <v>738</v>
      </c>
      <c r="U3" s="132">
        <v>42677</v>
      </c>
      <c r="V3" s="131"/>
      <c r="W3" s="131"/>
      <c r="X3" s="131"/>
      <c r="Y3" s="134" t="s">
        <v>740</v>
      </c>
      <c r="Z3" s="133">
        <v>89811084620</v>
      </c>
    </row>
    <row r="4" spans="1:26" ht="96" x14ac:dyDescent="0.25">
      <c r="A4" s="124">
        <v>3</v>
      </c>
      <c r="B4" s="124">
        <v>1</v>
      </c>
      <c r="C4" s="125">
        <v>43819</v>
      </c>
      <c r="D4" s="126">
        <v>3</v>
      </c>
      <c r="E4" s="127" t="s">
        <v>722</v>
      </c>
      <c r="F4" s="127" t="s">
        <v>735</v>
      </c>
      <c r="G4" s="127" t="s">
        <v>742</v>
      </c>
      <c r="H4" s="127" t="s">
        <v>739</v>
      </c>
      <c r="I4" s="127" t="s">
        <v>739</v>
      </c>
      <c r="J4" s="124"/>
      <c r="K4" s="124"/>
      <c r="L4" s="127" t="s">
        <v>738</v>
      </c>
      <c r="M4" s="128" t="s">
        <v>875</v>
      </c>
      <c r="N4" s="130">
        <v>653400</v>
      </c>
      <c r="O4" s="130"/>
      <c r="P4" s="131"/>
      <c r="Q4" s="131"/>
      <c r="R4" s="131"/>
      <c r="S4" s="131"/>
      <c r="T4" s="124" t="s">
        <v>738</v>
      </c>
      <c r="U4" s="132">
        <v>42677</v>
      </c>
      <c r="V4" s="131"/>
      <c r="W4" s="131"/>
      <c r="X4" s="131"/>
      <c r="Y4" s="134" t="s">
        <v>740</v>
      </c>
      <c r="Z4" s="133">
        <v>89811084620</v>
      </c>
    </row>
    <row r="5" spans="1:26" ht="108" x14ac:dyDescent="0.25">
      <c r="A5" s="124">
        <v>4</v>
      </c>
      <c r="B5" s="124">
        <v>1</v>
      </c>
      <c r="C5" s="125">
        <v>43819</v>
      </c>
      <c r="D5" s="133">
        <v>4</v>
      </c>
      <c r="E5" s="127" t="s">
        <v>723</v>
      </c>
      <c r="F5" s="127" t="s">
        <v>736</v>
      </c>
      <c r="G5" s="127" t="s">
        <v>741</v>
      </c>
      <c r="H5" s="127" t="s">
        <v>739</v>
      </c>
      <c r="I5" s="127" t="s">
        <v>739</v>
      </c>
      <c r="J5" s="124"/>
      <c r="K5" s="124"/>
      <c r="L5" s="127" t="s">
        <v>738</v>
      </c>
      <c r="M5" s="128" t="s">
        <v>875</v>
      </c>
      <c r="N5" s="130">
        <v>653400</v>
      </c>
      <c r="O5" s="130"/>
      <c r="P5" s="131"/>
      <c r="Q5" s="131"/>
      <c r="R5" s="131"/>
      <c r="S5" s="131"/>
      <c r="T5" s="124" t="s">
        <v>738</v>
      </c>
      <c r="U5" s="132">
        <v>42677</v>
      </c>
      <c r="V5" s="131"/>
      <c r="W5" s="131"/>
      <c r="X5" s="131"/>
      <c r="Y5" s="134" t="s">
        <v>740</v>
      </c>
      <c r="Z5" s="133">
        <v>89811084620</v>
      </c>
    </row>
    <row r="6" spans="1:26" ht="96" x14ac:dyDescent="0.25">
      <c r="A6" s="124">
        <v>5</v>
      </c>
      <c r="B6" s="124">
        <v>1</v>
      </c>
      <c r="C6" s="125">
        <v>43819</v>
      </c>
      <c r="D6" s="126">
        <v>5</v>
      </c>
      <c r="E6" s="127" t="s">
        <v>724</v>
      </c>
      <c r="F6" s="127" t="s">
        <v>737</v>
      </c>
      <c r="G6" s="127" t="s">
        <v>744</v>
      </c>
      <c r="H6" s="127" t="s">
        <v>739</v>
      </c>
      <c r="I6" s="127" t="s">
        <v>739</v>
      </c>
      <c r="J6" s="124"/>
      <c r="K6" s="124"/>
      <c r="L6" s="127" t="s">
        <v>738</v>
      </c>
      <c r="M6" s="128" t="s">
        <v>875</v>
      </c>
      <c r="N6" s="130">
        <v>653400</v>
      </c>
      <c r="O6" s="130"/>
      <c r="P6" s="131"/>
      <c r="Q6" s="131"/>
      <c r="R6" s="131"/>
      <c r="S6" s="131"/>
      <c r="T6" s="124" t="s">
        <v>738</v>
      </c>
      <c r="U6" s="132">
        <v>42677</v>
      </c>
      <c r="V6" s="131"/>
      <c r="W6" s="131"/>
      <c r="X6" s="131"/>
      <c r="Y6" s="134" t="s">
        <v>740</v>
      </c>
      <c r="Z6" s="133">
        <v>89811084620</v>
      </c>
    </row>
    <row r="7" spans="1:26" ht="108" x14ac:dyDescent="0.25">
      <c r="A7" s="124">
        <v>6</v>
      </c>
      <c r="B7" s="124">
        <v>1</v>
      </c>
      <c r="C7" s="125">
        <v>43794</v>
      </c>
      <c r="D7" s="133">
        <v>6</v>
      </c>
      <c r="E7" s="127" t="s">
        <v>725</v>
      </c>
      <c r="F7" s="127" t="s">
        <v>745</v>
      </c>
      <c r="G7" s="127" t="s">
        <v>746</v>
      </c>
      <c r="H7" s="127" t="s">
        <v>747</v>
      </c>
      <c r="I7" s="127" t="s">
        <v>747</v>
      </c>
      <c r="J7" s="124"/>
      <c r="K7" s="124"/>
      <c r="L7" s="127" t="s">
        <v>748</v>
      </c>
      <c r="M7" s="128" t="s">
        <v>874</v>
      </c>
      <c r="N7" s="130">
        <v>3312000</v>
      </c>
      <c r="O7" s="130"/>
      <c r="P7" s="131"/>
      <c r="Q7" s="131"/>
      <c r="R7" s="131"/>
      <c r="S7" s="131"/>
      <c r="T7" s="124" t="s">
        <v>748</v>
      </c>
      <c r="U7" s="132">
        <v>42426</v>
      </c>
      <c r="V7" s="131"/>
      <c r="W7" s="131"/>
      <c r="X7" s="131"/>
      <c r="Y7" s="124"/>
      <c r="Z7" s="124">
        <v>89110821945</v>
      </c>
    </row>
    <row r="8" spans="1:26" ht="108" x14ac:dyDescent="0.25">
      <c r="A8" s="124">
        <v>7</v>
      </c>
      <c r="B8" s="124">
        <v>1</v>
      </c>
      <c r="C8" s="125">
        <v>43867</v>
      </c>
      <c r="D8" s="126">
        <v>7</v>
      </c>
      <c r="E8" s="127" t="s">
        <v>830</v>
      </c>
      <c r="F8" s="127" t="s">
        <v>749</v>
      </c>
      <c r="G8" s="135" t="s">
        <v>751</v>
      </c>
      <c r="H8" s="127" t="s">
        <v>750</v>
      </c>
      <c r="I8" s="127" t="s">
        <v>750</v>
      </c>
      <c r="J8" s="124"/>
      <c r="K8" s="124"/>
      <c r="L8" s="127" t="s">
        <v>752</v>
      </c>
      <c r="M8" s="128" t="s">
        <v>754</v>
      </c>
      <c r="N8" s="130">
        <v>3232125</v>
      </c>
      <c r="O8" s="130">
        <v>570375</v>
      </c>
      <c r="P8" s="131"/>
      <c r="Q8" s="131"/>
      <c r="R8" s="131"/>
      <c r="S8" s="131"/>
      <c r="T8" s="124" t="s">
        <v>752</v>
      </c>
      <c r="U8" s="132">
        <v>42733</v>
      </c>
      <c r="V8" s="131"/>
      <c r="W8" s="131"/>
      <c r="X8" s="131"/>
      <c r="Y8" s="124" t="s">
        <v>753</v>
      </c>
      <c r="Z8" s="124" t="s">
        <v>755</v>
      </c>
    </row>
    <row r="9" spans="1:26" ht="120" x14ac:dyDescent="0.25">
      <c r="A9" s="124">
        <v>8</v>
      </c>
      <c r="B9" s="124">
        <v>1</v>
      </c>
      <c r="C9" s="125">
        <v>43814</v>
      </c>
      <c r="D9" s="133">
        <v>8</v>
      </c>
      <c r="E9" s="127" t="s">
        <v>831</v>
      </c>
      <c r="F9" s="127" t="s">
        <v>759</v>
      </c>
      <c r="G9" s="127" t="s">
        <v>762</v>
      </c>
      <c r="H9" s="127" t="s">
        <v>757</v>
      </c>
      <c r="I9" s="127" t="s">
        <v>757</v>
      </c>
      <c r="J9" s="124"/>
      <c r="K9" s="124"/>
      <c r="L9" s="127" t="s">
        <v>756</v>
      </c>
      <c r="M9" s="128" t="s">
        <v>870</v>
      </c>
      <c r="N9" s="130">
        <v>507000</v>
      </c>
      <c r="O9" s="130"/>
      <c r="P9" s="131"/>
      <c r="Q9" s="131"/>
      <c r="R9" s="131"/>
      <c r="S9" s="131"/>
      <c r="T9" s="124" t="s">
        <v>756</v>
      </c>
      <c r="U9" s="132">
        <v>42809</v>
      </c>
      <c r="V9" s="131"/>
      <c r="W9" s="131"/>
      <c r="X9" s="131"/>
      <c r="Y9" s="124" t="s">
        <v>766</v>
      </c>
      <c r="Z9" s="124">
        <v>89117586171</v>
      </c>
    </row>
    <row r="10" spans="1:26" ht="120" x14ac:dyDescent="0.25">
      <c r="A10" s="124">
        <v>9</v>
      </c>
      <c r="B10" s="124">
        <v>1</v>
      </c>
      <c r="C10" s="125">
        <v>43814</v>
      </c>
      <c r="D10" s="126">
        <v>9</v>
      </c>
      <c r="E10" s="127" t="s">
        <v>832</v>
      </c>
      <c r="F10" s="127" t="s">
        <v>758</v>
      </c>
      <c r="G10" s="127" t="s">
        <v>763</v>
      </c>
      <c r="H10" s="127" t="s">
        <v>757</v>
      </c>
      <c r="I10" s="127" t="s">
        <v>757</v>
      </c>
      <c r="J10" s="124"/>
      <c r="K10" s="124"/>
      <c r="L10" s="127" t="s">
        <v>756</v>
      </c>
      <c r="M10" s="128" t="s">
        <v>870</v>
      </c>
      <c r="N10" s="130">
        <v>507000</v>
      </c>
      <c r="O10" s="130"/>
      <c r="P10" s="131"/>
      <c r="Q10" s="131"/>
      <c r="R10" s="131"/>
      <c r="S10" s="131"/>
      <c r="T10" s="124" t="s">
        <v>756</v>
      </c>
      <c r="U10" s="132">
        <v>42809</v>
      </c>
      <c r="V10" s="131"/>
      <c r="W10" s="131"/>
      <c r="X10" s="131"/>
      <c r="Y10" s="124" t="s">
        <v>766</v>
      </c>
      <c r="Z10" s="124">
        <v>895220002381</v>
      </c>
    </row>
    <row r="11" spans="1:26" ht="120" x14ac:dyDescent="0.25">
      <c r="A11" s="124">
        <v>10</v>
      </c>
      <c r="B11" s="124">
        <v>1</v>
      </c>
      <c r="C11" s="125">
        <v>43814</v>
      </c>
      <c r="D11" s="133">
        <v>10</v>
      </c>
      <c r="E11" s="127" t="s">
        <v>833</v>
      </c>
      <c r="F11" s="127" t="s">
        <v>760</v>
      </c>
      <c r="G11" s="127" t="s">
        <v>764</v>
      </c>
      <c r="H11" s="127" t="s">
        <v>757</v>
      </c>
      <c r="I11" s="127" t="s">
        <v>757</v>
      </c>
      <c r="J11" s="124"/>
      <c r="K11" s="124"/>
      <c r="L11" s="127" t="s">
        <v>756</v>
      </c>
      <c r="M11" s="128" t="s">
        <v>870</v>
      </c>
      <c r="N11" s="130">
        <v>507000</v>
      </c>
      <c r="O11" s="130"/>
      <c r="P11" s="131"/>
      <c r="Q11" s="131"/>
      <c r="R11" s="131"/>
      <c r="S11" s="131"/>
      <c r="T11" s="124" t="s">
        <v>756</v>
      </c>
      <c r="U11" s="132">
        <v>42809</v>
      </c>
      <c r="V11" s="131"/>
      <c r="W11" s="131"/>
      <c r="X11" s="131"/>
      <c r="Y11" s="124" t="s">
        <v>766</v>
      </c>
      <c r="Z11" s="124">
        <v>89523953807</v>
      </c>
    </row>
    <row r="12" spans="1:26" ht="120" x14ac:dyDescent="0.25">
      <c r="A12" s="124">
        <v>11</v>
      </c>
      <c r="B12" s="124">
        <v>1</v>
      </c>
      <c r="C12" s="125">
        <v>43814</v>
      </c>
      <c r="D12" s="126">
        <v>11</v>
      </c>
      <c r="E12" s="127" t="s">
        <v>834</v>
      </c>
      <c r="F12" s="127" t="s">
        <v>761</v>
      </c>
      <c r="G12" s="127" t="s">
        <v>765</v>
      </c>
      <c r="H12" s="127" t="s">
        <v>757</v>
      </c>
      <c r="I12" s="127" t="s">
        <v>757</v>
      </c>
      <c r="J12" s="124"/>
      <c r="K12" s="124"/>
      <c r="L12" s="127" t="s">
        <v>756</v>
      </c>
      <c r="M12" s="128" t="s">
        <v>870</v>
      </c>
      <c r="N12" s="130">
        <v>507000</v>
      </c>
      <c r="O12" s="130"/>
      <c r="P12" s="131"/>
      <c r="Q12" s="131"/>
      <c r="R12" s="131"/>
      <c r="S12" s="131"/>
      <c r="T12" s="124" t="s">
        <v>756</v>
      </c>
      <c r="U12" s="132">
        <v>42809</v>
      </c>
      <c r="V12" s="131"/>
      <c r="W12" s="131"/>
      <c r="X12" s="131"/>
      <c r="Y12" s="124" t="s">
        <v>766</v>
      </c>
      <c r="Z12" s="124">
        <v>89522277369</v>
      </c>
    </row>
    <row r="13" spans="1:26" ht="84" x14ac:dyDescent="0.25">
      <c r="A13" s="124">
        <v>12</v>
      </c>
      <c r="B13" s="124">
        <v>1</v>
      </c>
      <c r="C13" s="125">
        <v>43841</v>
      </c>
      <c r="D13" s="133">
        <v>12</v>
      </c>
      <c r="E13" s="127" t="s">
        <v>835</v>
      </c>
      <c r="F13" s="127" t="s">
        <v>767</v>
      </c>
      <c r="G13" s="127" t="s">
        <v>1171</v>
      </c>
      <c r="H13" s="127" t="s">
        <v>768</v>
      </c>
      <c r="I13" s="127" t="s">
        <v>768</v>
      </c>
      <c r="J13" s="124"/>
      <c r="K13" s="124"/>
      <c r="L13" s="127" t="s">
        <v>769</v>
      </c>
      <c r="M13" s="128" t="s">
        <v>873</v>
      </c>
      <c r="N13" s="130" t="s">
        <v>770</v>
      </c>
      <c r="O13" s="130"/>
      <c r="P13" s="131"/>
      <c r="Q13" s="131"/>
      <c r="R13" s="131"/>
      <c r="S13" s="131"/>
      <c r="T13" s="124" t="s">
        <v>769</v>
      </c>
      <c r="U13" s="132">
        <v>42489</v>
      </c>
      <c r="V13" s="131"/>
      <c r="W13" s="131"/>
      <c r="X13" s="131"/>
      <c r="Y13" s="124" t="s">
        <v>766</v>
      </c>
      <c r="Z13" s="124">
        <v>89213120601</v>
      </c>
    </row>
    <row r="14" spans="1:26" ht="108" x14ac:dyDescent="0.25">
      <c r="A14" s="124">
        <v>13</v>
      </c>
      <c r="B14" s="124">
        <v>1</v>
      </c>
      <c r="C14" s="125">
        <v>43799</v>
      </c>
      <c r="D14" s="126">
        <v>13</v>
      </c>
      <c r="E14" s="127" t="s">
        <v>836</v>
      </c>
      <c r="F14" s="127" t="s">
        <v>771</v>
      </c>
      <c r="G14" s="127" t="s">
        <v>773</v>
      </c>
      <c r="H14" s="127" t="s">
        <v>775</v>
      </c>
      <c r="I14" s="127" t="s">
        <v>775</v>
      </c>
      <c r="J14" s="124"/>
      <c r="K14" s="124"/>
      <c r="L14" s="127" t="s">
        <v>776</v>
      </c>
      <c r="M14" s="128" t="s">
        <v>777</v>
      </c>
      <c r="N14" s="130">
        <v>871200</v>
      </c>
      <c r="O14" s="130"/>
      <c r="P14" s="131"/>
      <c r="Q14" s="131"/>
      <c r="R14" s="131"/>
      <c r="S14" s="131"/>
      <c r="T14" s="124" t="s">
        <v>776</v>
      </c>
      <c r="U14" s="132">
        <v>42532</v>
      </c>
      <c r="V14" s="131"/>
      <c r="W14" s="131"/>
      <c r="X14" s="131"/>
      <c r="Y14" s="124" t="s">
        <v>778</v>
      </c>
      <c r="Z14" s="124">
        <v>89643639293</v>
      </c>
    </row>
    <row r="15" spans="1:26" ht="108" x14ac:dyDescent="0.25">
      <c r="A15" s="124">
        <v>14</v>
      </c>
      <c r="B15" s="124">
        <v>1</v>
      </c>
      <c r="C15" s="125">
        <v>43799</v>
      </c>
      <c r="D15" s="133">
        <v>14</v>
      </c>
      <c r="E15" s="127" t="s">
        <v>837</v>
      </c>
      <c r="F15" s="127" t="s">
        <v>772</v>
      </c>
      <c r="G15" s="127" t="s">
        <v>774</v>
      </c>
      <c r="H15" s="127" t="s">
        <v>775</v>
      </c>
      <c r="I15" s="127" t="s">
        <v>775</v>
      </c>
      <c r="J15" s="124"/>
      <c r="K15" s="124"/>
      <c r="L15" s="127" t="s">
        <v>776</v>
      </c>
      <c r="M15" s="128" t="s">
        <v>777</v>
      </c>
      <c r="N15" s="130">
        <v>871200</v>
      </c>
      <c r="O15" s="130"/>
      <c r="P15" s="131"/>
      <c r="Q15" s="131"/>
      <c r="R15" s="131"/>
      <c r="S15" s="131"/>
      <c r="T15" s="124" t="s">
        <v>776</v>
      </c>
      <c r="U15" s="132">
        <v>42532</v>
      </c>
      <c r="V15" s="131"/>
      <c r="W15" s="131"/>
      <c r="X15" s="131"/>
      <c r="Y15" s="124" t="s">
        <v>778</v>
      </c>
      <c r="Z15" s="124">
        <v>89062796512</v>
      </c>
    </row>
    <row r="16" spans="1:26" ht="120" x14ac:dyDescent="0.25">
      <c r="A16" s="124">
        <v>15</v>
      </c>
      <c r="B16" s="124">
        <v>1</v>
      </c>
      <c r="C16" s="125" t="s">
        <v>779</v>
      </c>
      <c r="D16" s="126">
        <v>15</v>
      </c>
      <c r="E16" s="127" t="s">
        <v>838</v>
      </c>
      <c r="F16" s="127" t="s">
        <v>780</v>
      </c>
      <c r="G16" s="127" t="s">
        <v>781</v>
      </c>
      <c r="H16" s="127" t="s">
        <v>782</v>
      </c>
      <c r="I16" s="127" t="s">
        <v>782</v>
      </c>
      <c r="J16" s="124"/>
      <c r="K16" s="124"/>
      <c r="L16" s="127" t="s">
        <v>783</v>
      </c>
      <c r="M16" s="128" t="s">
        <v>784</v>
      </c>
      <c r="N16" s="130">
        <v>1893375</v>
      </c>
      <c r="O16" s="130">
        <v>334125</v>
      </c>
      <c r="P16" s="131"/>
      <c r="Q16" s="131" t="s">
        <v>799</v>
      </c>
      <c r="R16" s="131"/>
      <c r="S16" s="131" t="s">
        <v>800</v>
      </c>
      <c r="T16" s="124" t="s">
        <v>783</v>
      </c>
      <c r="U16" s="132">
        <v>42274</v>
      </c>
      <c r="V16" s="131"/>
      <c r="W16" s="131">
        <v>17140</v>
      </c>
      <c r="X16" s="131">
        <v>596067.12</v>
      </c>
      <c r="Y16" s="124" t="s">
        <v>801</v>
      </c>
      <c r="Z16" s="124">
        <v>89523573284</v>
      </c>
    </row>
    <row r="17" spans="1:26" ht="96" x14ac:dyDescent="0.25">
      <c r="A17" s="124">
        <v>16</v>
      </c>
      <c r="B17" s="124">
        <v>1</v>
      </c>
      <c r="C17" s="125">
        <v>43839</v>
      </c>
      <c r="D17" s="133">
        <v>16</v>
      </c>
      <c r="E17" s="127" t="s">
        <v>839</v>
      </c>
      <c r="F17" s="127" t="s">
        <v>785</v>
      </c>
      <c r="G17" s="127" t="s">
        <v>787</v>
      </c>
      <c r="H17" s="127" t="s">
        <v>788</v>
      </c>
      <c r="I17" s="127" t="s">
        <v>788</v>
      </c>
      <c r="J17" s="124"/>
      <c r="K17" s="124"/>
      <c r="L17" s="127" t="s">
        <v>786</v>
      </c>
      <c r="M17" s="128" t="s">
        <v>789</v>
      </c>
      <c r="N17" s="130" t="s">
        <v>790</v>
      </c>
      <c r="O17" s="130"/>
      <c r="P17" s="131"/>
      <c r="Q17" s="131"/>
      <c r="R17" s="131"/>
      <c r="S17" s="131"/>
      <c r="T17" s="124" t="s">
        <v>786</v>
      </c>
      <c r="U17" s="132">
        <v>42664</v>
      </c>
      <c r="V17" s="131"/>
      <c r="W17" s="131"/>
      <c r="X17" s="131"/>
      <c r="Y17" s="124" t="s">
        <v>798</v>
      </c>
      <c r="Z17" s="136">
        <v>8.9319672795892097E+21</v>
      </c>
    </row>
    <row r="18" spans="1:26" ht="84" x14ac:dyDescent="0.25">
      <c r="A18" s="124">
        <v>17</v>
      </c>
      <c r="B18" s="124">
        <v>1</v>
      </c>
      <c r="C18" s="125">
        <v>43804</v>
      </c>
      <c r="D18" s="126">
        <v>17</v>
      </c>
      <c r="E18" s="127" t="s">
        <v>972</v>
      </c>
      <c r="F18" s="127" t="s">
        <v>791</v>
      </c>
      <c r="G18" s="127" t="s">
        <v>793</v>
      </c>
      <c r="H18" s="127" t="s">
        <v>794</v>
      </c>
      <c r="I18" s="127" t="s">
        <v>794</v>
      </c>
      <c r="J18" s="124"/>
      <c r="K18" s="124"/>
      <c r="L18" s="127" t="s">
        <v>792</v>
      </c>
      <c r="M18" s="128" t="s">
        <v>795</v>
      </c>
      <c r="N18" s="130" t="s">
        <v>796</v>
      </c>
      <c r="O18" s="130"/>
      <c r="P18" s="131"/>
      <c r="Q18" s="131"/>
      <c r="R18" s="131"/>
      <c r="S18" s="131"/>
      <c r="T18" s="124" t="s">
        <v>792</v>
      </c>
      <c r="U18" s="132">
        <v>42688</v>
      </c>
      <c r="V18" s="131"/>
      <c r="W18" s="131"/>
      <c r="X18" s="131"/>
      <c r="Y18" s="124" t="s">
        <v>797</v>
      </c>
      <c r="Z18" s="124">
        <v>89313642070</v>
      </c>
    </row>
    <row r="19" spans="1:26" ht="84" x14ac:dyDescent="0.25">
      <c r="A19" s="124">
        <v>18</v>
      </c>
      <c r="B19" s="124">
        <v>1</v>
      </c>
      <c r="C19" s="125">
        <v>43839</v>
      </c>
      <c r="D19" s="133">
        <v>18</v>
      </c>
      <c r="E19" s="127" t="s">
        <v>973</v>
      </c>
      <c r="F19" s="127" t="s">
        <v>802</v>
      </c>
      <c r="G19" s="127" t="s">
        <v>805</v>
      </c>
      <c r="H19" s="127" t="s">
        <v>807</v>
      </c>
      <c r="I19" s="127" t="s">
        <v>807</v>
      </c>
      <c r="J19" s="124"/>
      <c r="K19" s="124"/>
      <c r="L19" s="127" t="s">
        <v>806</v>
      </c>
      <c r="M19" s="128" t="s">
        <v>872</v>
      </c>
      <c r="N19" s="130">
        <v>1609418.5</v>
      </c>
      <c r="O19" s="130"/>
      <c r="P19" s="131"/>
      <c r="Q19" s="131"/>
      <c r="R19" s="131"/>
      <c r="S19" s="131"/>
      <c r="T19" s="124" t="s">
        <v>806</v>
      </c>
      <c r="U19" s="132">
        <v>42630</v>
      </c>
      <c r="V19" s="131"/>
      <c r="W19" s="131"/>
      <c r="X19" s="131"/>
      <c r="Y19" s="124" t="s">
        <v>766</v>
      </c>
      <c r="Z19" s="124">
        <v>89219819659</v>
      </c>
    </row>
    <row r="20" spans="1:26" ht="84" x14ac:dyDescent="0.25">
      <c r="A20" s="124">
        <v>19</v>
      </c>
      <c r="B20" s="124">
        <v>1</v>
      </c>
      <c r="C20" s="125">
        <v>43839</v>
      </c>
      <c r="D20" s="126">
        <v>19</v>
      </c>
      <c r="E20" s="127" t="s">
        <v>840</v>
      </c>
      <c r="F20" s="127" t="s">
        <v>803</v>
      </c>
      <c r="G20" s="127" t="s">
        <v>804</v>
      </c>
      <c r="H20" s="127" t="s">
        <v>807</v>
      </c>
      <c r="I20" s="127" t="s">
        <v>807</v>
      </c>
      <c r="J20" s="124"/>
      <c r="K20" s="124"/>
      <c r="L20" s="127" t="s">
        <v>806</v>
      </c>
      <c r="M20" s="128" t="s">
        <v>872</v>
      </c>
      <c r="N20" s="130">
        <v>1609418.5</v>
      </c>
      <c r="O20" s="130"/>
      <c r="P20" s="131"/>
      <c r="Q20" s="131"/>
      <c r="R20" s="131"/>
      <c r="S20" s="131"/>
      <c r="T20" s="124" t="s">
        <v>806</v>
      </c>
      <c r="U20" s="132">
        <v>42630</v>
      </c>
      <c r="V20" s="131"/>
      <c r="W20" s="131"/>
      <c r="X20" s="131"/>
      <c r="Y20" s="124" t="s">
        <v>766</v>
      </c>
      <c r="Z20" s="124">
        <v>89516776113</v>
      </c>
    </row>
    <row r="21" spans="1:26" ht="108" x14ac:dyDescent="0.25">
      <c r="A21" s="124">
        <v>20</v>
      </c>
      <c r="B21" s="124">
        <v>1</v>
      </c>
      <c r="C21" s="125">
        <v>43860</v>
      </c>
      <c r="D21" s="133">
        <v>20</v>
      </c>
      <c r="E21" s="133">
        <v>20</v>
      </c>
      <c r="F21" s="127" t="s">
        <v>808</v>
      </c>
      <c r="G21" s="127" t="s">
        <v>809</v>
      </c>
      <c r="H21" s="127" t="s">
        <v>810</v>
      </c>
      <c r="I21" s="127" t="s">
        <v>810</v>
      </c>
      <c r="J21" s="124"/>
      <c r="K21" s="124"/>
      <c r="L21" s="127" t="s">
        <v>811</v>
      </c>
      <c r="M21" s="128" t="s">
        <v>812</v>
      </c>
      <c r="N21" s="130">
        <v>1881000</v>
      </c>
      <c r="O21" s="130"/>
      <c r="P21" s="131"/>
      <c r="Q21" s="131"/>
      <c r="R21" s="131"/>
      <c r="S21" s="131"/>
      <c r="T21" s="124" t="s">
        <v>811</v>
      </c>
      <c r="U21" s="132">
        <v>42801</v>
      </c>
      <c r="V21" s="131"/>
      <c r="W21" s="131"/>
      <c r="X21" s="131"/>
      <c r="Y21" s="124" t="s">
        <v>766</v>
      </c>
      <c r="Z21" s="124">
        <v>89523509372</v>
      </c>
    </row>
    <row r="22" spans="1:26" ht="108" x14ac:dyDescent="0.25">
      <c r="A22" s="124">
        <v>21</v>
      </c>
      <c r="B22" s="124">
        <v>1</v>
      </c>
      <c r="C22" s="125">
        <v>43839</v>
      </c>
      <c r="D22" s="126">
        <v>21</v>
      </c>
      <c r="E22" s="126">
        <v>21</v>
      </c>
      <c r="F22" s="127" t="s">
        <v>813</v>
      </c>
      <c r="G22" s="127" t="s">
        <v>814</v>
      </c>
      <c r="H22" s="127" t="s">
        <v>815</v>
      </c>
      <c r="I22" s="127" t="s">
        <v>815</v>
      </c>
      <c r="J22" s="124"/>
      <c r="K22" s="124"/>
      <c r="L22" s="127" t="s">
        <v>816</v>
      </c>
      <c r="M22" s="128" t="s">
        <v>869</v>
      </c>
      <c r="N22" s="130">
        <v>2148281</v>
      </c>
      <c r="O22" s="130"/>
      <c r="P22" s="131"/>
      <c r="Q22" s="131"/>
      <c r="R22" s="131"/>
      <c r="S22" s="131"/>
      <c r="T22" s="124" t="s">
        <v>816</v>
      </c>
      <c r="U22" s="132">
        <v>42978</v>
      </c>
      <c r="V22" s="131"/>
      <c r="W22" s="131"/>
      <c r="X22" s="131"/>
      <c r="Y22" s="124" t="s">
        <v>766</v>
      </c>
      <c r="Z22" s="124">
        <v>89117531032</v>
      </c>
    </row>
    <row r="23" spans="1:26" s="118" customFormat="1" ht="72" x14ac:dyDescent="0.25">
      <c r="A23" s="124">
        <v>22</v>
      </c>
      <c r="B23" s="124">
        <v>1</v>
      </c>
      <c r="C23" s="125">
        <v>43905</v>
      </c>
      <c r="D23" s="133">
        <v>22</v>
      </c>
      <c r="E23" s="133">
        <v>22</v>
      </c>
      <c r="F23" s="127" t="s">
        <v>817</v>
      </c>
      <c r="G23" s="127" t="s">
        <v>825</v>
      </c>
      <c r="H23" s="127" t="s">
        <v>821</v>
      </c>
      <c r="I23" s="127" t="s">
        <v>821</v>
      </c>
      <c r="J23" s="124"/>
      <c r="K23" s="124"/>
      <c r="L23" s="127" t="s">
        <v>829</v>
      </c>
      <c r="M23" s="128" t="s">
        <v>871</v>
      </c>
      <c r="N23" s="130">
        <v>578850</v>
      </c>
      <c r="O23" s="130"/>
      <c r="P23" s="131"/>
      <c r="Q23" s="131" t="s">
        <v>1144</v>
      </c>
      <c r="R23" s="131"/>
      <c r="S23" s="131" t="s">
        <v>898</v>
      </c>
      <c r="T23" s="124" t="s">
        <v>829</v>
      </c>
      <c r="U23" s="132">
        <v>42648</v>
      </c>
      <c r="V23" s="131"/>
      <c r="W23" s="131">
        <v>14500</v>
      </c>
      <c r="X23" s="131">
        <v>206467.9075</v>
      </c>
      <c r="Y23" s="124" t="s">
        <v>1145</v>
      </c>
      <c r="Z23" s="124"/>
    </row>
    <row r="24" spans="1:26" s="118" customFormat="1" ht="84" x14ac:dyDescent="0.25">
      <c r="A24" s="124">
        <v>23</v>
      </c>
      <c r="B24" s="124">
        <v>1</v>
      </c>
      <c r="C24" s="125">
        <v>43905</v>
      </c>
      <c r="D24" s="126">
        <v>23</v>
      </c>
      <c r="E24" s="126">
        <v>23</v>
      </c>
      <c r="F24" s="127" t="s">
        <v>818</v>
      </c>
      <c r="G24" s="127" t="s">
        <v>826</v>
      </c>
      <c r="H24" s="127" t="s">
        <v>822</v>
      </c>
      <c r="I24" s="127" t="s">
        <v>822</v>
      </c>
      <c r="J24" s="124"/>
      <c r="K24" s="124"/>
      <c r="L24" s="127" t="s">
        <v>829</v>
      </c>
      <c r="M24" s="128" t="s">
        <v>871</v>
      </c>
      <c r="N24" s="130">
        <v>578850</v>
      </c>
      <c r="O24" s="130"/>
      <c r="P24" s="131"/>
      <c r="Q24" s="131" t="s">
        <v>1144</v>
      </c>
      <c r="R24" s="131"/>
      <c r="S24" s="131" t="s">
        <v>898</v>
      </c>
      <c r="T24" s="124" t="s">
        <v>829</v>
      </c>
      <c r="U24" s="132">
        <v>42648</v>
      </c>
      <c r="V24" s="131"/>
      <c r="W24" s="131">
        <v>14500</v>
      </c>
      <c r="X24" s="131">
        <v>206467.9075</v>
      </c>
      <c r="Y24" s="124" t="s">
        <v>1145</v>
      </c>
      <c r="Z24" s="124"/>
    </row>
    <row r="25" spans="1:26" s="118" customFormat="1" ht="72" x14ac:dyDescent="0.25">
      <c r="A25" s="124">
        <v>24</v>
      </c>
      <c r="B25" s="124">
        <v>1</v>
      </c>
      <c r="C25" s="125">
        <v>43905</v>
      </c>
      <c r="D25" s="133">
        <v>24</v>
      </c>
      <c r="E25" s="133">
        <v>24</v>
      </c>
      <c r="F25" s="127" t="s">
        <v>819</v>
      </c>
      <c r="G25" s="127" t="s">
        <v>827</v>
      </c>
      <c r="H25" s="127" t="s">
        <v>823</v>
      </c>
      <c r="I25" s="127" t="s">
        <v>823</v>
      </c>
      <c r="J25" s="124"/>
      <c r="K25" s="124"/>
      <c r="L25" s="127" t="s">
        <v>829</v>
      </c>
      <c r="M25" s="128" t="s">
        <v>871</v>
      </c>
      <c r="N25" s="130">
        <v>578850</v>
      </c>
      <c r="O25" s="130"/>
      <c r="P25" s="131"/>
      <c r="Q25" s="131" t="s">
        <v>1144</v>
      </c>
      <c r="R25" s="131"/>
      <c r="S25" s="131" t="s">
        <v>898</v>
      </c>
      <c r="T25" s="124" t="s">
        <v>829</v>
      </c>
      <c r="U25" s="132">
        <v>42648</v>
      </c>
      <c r="V25" s="131"/>
      <c r="W25" s="131">
        <v>14500</v>
      </c>
      <c r="X25" s="131">
        <v>206467.9075</v>
      </c>
      <c r="Y25" s="124" t="s">
        <v>1145</v>
      </c>
      <c r="Z25" s="124"/>
    </row>
    <row r="26" spans="1:26" s="118" customFormat="1" ht="72" x14ac:dyDescent="0.25">
      <c r="A26" s="124">
        <v>25</v>
      </c>
      <c r="B26" s="124">
        <v>1</v>
      </c>
      <c r="C26" s="125">
        <v>43905</v>
      </c>
      <c r="D26" s="126">
        <v>25</v>
      </c>
      <c r="E26" s="126">
        <v>25</v>
      </c>
      <c r="F26" s="127" t="s">
        <v>820</v>
      </c>
      <c r="G26" s="127" t="s">
        <v>828</v>
      </c>
      <c r="H26" s="127" t="s">
        <v>824</v>
      </c>
      <c r="I26" s="127" t="s">
        <v>824</v>
      </c>
      <c r="J26" s="124"/>
      <c r="K26" s="124"/>
      <c r="L26" s="127" t="s">
        <v>829</v>
      </c>
      <c r="M26" s="128" t="s">
        <v>871</v>
      </c>
      <c r="N26" s="130">
        <v>578850</v>
      </c>
      <c r="O26" s="130"/>
      <c r="P26" s="131"/>
      <c r="Q26" s="131" t="s">
        <v>1144</v>
      </c>
      <c r="R26" s="131"/>
      <c r="S26" s="131" t="s">
        <v>898</v>
      </c>
      <c r="T26" s="124" t="s">
        <v>829</v>
      </c>
      <c r="U26" s="132">
        <v>42648</v>
      </c>
      <c r="V26" s="131"/>
      <c r="W26" s="131">
        <v>14500</v>
      </c>
      <c r="X26" s="131">
        <v>206467.9075</v>
      </c>
      <c r="Y26" s="124" t="s">
        <v>1145</v>
      </c>
      <c r="Z26" s="124"/>
    </row>
    <row r="27" spans="1:26" ht="96" x14ac:dyDescent="0.25">
      <c r="A27" s="124">
        <v>26</v>
      </c>
      <c r="B27" s="124">
        <v>1</v>
      </c>
      <c r="C27" s="125">
        <v>43799</v>
      </c>
      <c r="D27" s="133">
        <v>26</v>
      </c>
      <c r="E27" s="133">
        <v>26</v>
      </c>
      <c r="F27" s="127" t="s">
        <v>841</v>
      </c>
      <c r="G27" s="127" t="s">
        <v>842</v>
      </c>
      <c r="H27" s="127" t="s">
        <v>843</v>
      </c>
      <c r="I27" s="127" t="s">
        <v>843</v>
      </c>
      <c r="J27" s="124"/>
      <c r="K27" s="124"/>
      <c r="L27" s="127" t="s">
        <v>844</v>
      </c>
      <c r="M27" s="128" t="s">
        <v>845</v>
      </c>
      <c r="N27" s="130">
        <v>2553000</v>
      </c>
      <c r="O27" s="130"/>
      <c r="P27" s="131"/>
      <c r="Q27" s="131"/>
      <c r="R27" s="131"/>
      <c r="S27" s="131"/>
      <c r="T27" s="124" t="s">
        <v>844</v>
      </c>
      <c r="U27" s="132">
        <v>42618</v>
      </c>
      <c r="V27" s="131"/>
      <c r="W27" s="131"/>
      <c r="X27" s="131"/>
      <c r="Y27" s="124" t="s">
        <v>846</v>
      </c>
      <c r="Z27" s="124">
        <v>89112357158</v>
      </c>
    </row>
    <row r="28" spans="1:26" ht="72" x14ac:dyDescent="0.25">
      <c r="A28" s="124">
        <v>27</v>
      </c>
      <c r="B28" s="124">
        <v>1</v>
      </c>
      <c r="C28" s="125">
        <v>43799</v>
      </c>
      <c r="D28" s="126">
        <v>27</v>
      </c>
      <c r="E28" s="126">
        <v>27</v>
      </c>
      <c r="F28" s="127" t="s">
        <v>847</v>
      </c>
      <c r="G28" s="127" t="s">
        <v>848</v>
      </c>
      <c r="H28" s="127" t="s">
        <v>849</v>
      </c>
      <c r="I28" s="127" t="s">
        <v>849</v>
      </c>
      <c r="J28" s="124"/>
      <c r="K28" s="124"/>
      <c r="L28" s="127" t="s">
        <v>850</v>
      </c>
      <c r="M28" s="128" t="s">
        <v>851</v>
      </c>
      <c r="N28" s="130">
        <v>2378513</v>
      </c>
      <c r="O28" s="130">
        <v>419737</v>
      </c>
      <c r="P28" s="131"/>
      <c r="Q28" s="131"/>
      <c r="R28" s="131"/>
      <c r="S28" s="131"/>
      <c r="T28" s="124" t="s">
        <v>850</v>
      </c>
      <c r="U28" s="132">
        <v>42509</v>
      </c>
      <c r="V28" s="131"/>
      <c r="W28" s="131"/>
      <c r="X28" s="131"/>
      <c r="Y28" s="124" t="s">
        <v>852</v>
      </c>
      <c r="Z28" s="124">
        <v>89213753310</v>
      </c>
    </row>
    <row r="29" spans="1:26" ht="72" x14ac:dyDescent="0.25">
      <c r="A29" s="124">
        <v>28</v>
      </c>
      <c r="B29" s="124">
        <v>1</v>
      </c>
      <c r="C29" s="125">
        <v>43808</v>
      </c>
      <c r="D29" s="133">
        <v>28</v>
      </c>
      <c r="E29" s="133">
        <v>28</v>
      </c>
      <c r="F29" s="127" t="s">
        <v>853</v>
      </c>
      <c r="G29" s="127" t="s">
        <v>855</v>
      </c>
      <c r="H29" s="127" t="s">
        <v>856</v>
      </c>
      <c r="I29" s="127" t="s">
        <v>856</v>
      </c>
      <c r="J29" s="124"/>
      <c r="K29" s="124"/>
      <c r="L29" s="128" t="s">
        <v>854</v>
      </c>
      <c r="M29" s="128" t="s">
        <v>868</v>
      </c>
      <c r="N29" s="130">
        <v>3051600</v>
      </c>
      <c r="O29" s="130"/>
      <c r="P29" s="131"/>
      <c r="Q29" s="131"/>
      <c r="R29" s="131"/>
      <c r="S29" s="131"/>
      <c r="T29" s="131" t="s">
        <v>854</v>
      </c>
      <c r="U29" s="132">
        <v>42991</v>
      </c>
      <c r="V29" s="131"/>
      <c r="W29" s="131"/>
      <c r="X29" s="131"/>
      <c r="Y29" s="124" t="s">
        <v>766</v>
      </c>
      <c r="Z29" s="124">
        <v>89119560613</v>
      </c>
    </row>
    <row r="30" spans="1:26" ht="120" x14ac:dyDescent="0.25">
      <c r="A30" s="124">
        <v>29</v>
      </c>
      <c r="B30" s="124">
        <v>1</v>
      </c>
      <c r="C30" s="125">
        <v>43799</v>
      </c>
      <c r="D30" s="126">
        <v>29</v>
      </c>
      <c r="E30" s="126">
        <v>29</v>
      </c>
      <c r="F30" s="127" t="s">
        <v>857</v>
      </c>
      <c r="G30" s="127" t="s">
        <v>859</v>
      </c>
      <c r="H30" s="127" t="s">
        <v>860</v>
      </c>
      <c r="I30" s="127" t="s">
        <v>860</v>
      </c>
      <c r="J30" s="124"/>
      <c r="K30" s="124"/>
      <c r="L30" s="127" t="s">
        <v>858</v>
      </c>
      <c r="M30" s="128" t="s">
        <v>861</v>
      </c>
      <c r="N30" s="130">
        <v>2129400</v>
      </c>
      <c r="O30" s="130"/>
      <c r="P30" s="131"/>
      <c r="Q30" s="131"/>
      <c r="R30" s="131"/>
      <c r="S30" s="131"/>
      <c r="T30" s="124" t="s">
        <v>858</v>
      </c>
      <c r="U30" s="132">
        <v>42660</v>
      </c>
      <c r="V30" s="131"/>
      <c r="W30" s="131"/>
      <c r="X30" s="131"/>
      <c r="Y30" s="124" t="s">
        <v>766</v>
      </c>
      <c r="Z30" s="124">
        <v>89052786846</v>
      </c>
    </row>
    <row r="31" spans="1:26" ht="84" x14ac:dyDescent="0.25">
      <c r="A31" s="124">
        <v>30</v>
      </c>
      <c r="B31" s="124">
        <v>1</v>
      </c>
      <c r="C31" s="125">
        <v>43799</v>
      </c>
      <c r="D31" s="133">
        <v>30</v>
      </c>
      <c r="E31" s="133">
        <v>30</v>
      </c>
      <c r="F31" s="127" t="s">
        <v>862</v>
      </c>
      <c r="G31" s="127" t="s">
        <v>863</v>
      </c>
      <c r="H31" s="127" t="s">
        <v>864</v>
      </c>
      <c r="I31" s="127" t="s">
        <v>864</v>
      </c>
      <c r="J31" s="124"/>
      <c r="K31" s="124"/>
      <c r="L31" s="127" t="s">
        <v>865</v>
      </c>
      <c r="M31" s="128" t="s">
        <v>866</v>
      </c>
      <c r="N31" s="130">
        <v>1966900</v>
      </c>
      <c r="O31" s="130">
        <v>347100</v>
      </c>
      <c r="P31" s="131"/>
      <c r="Q31" s="131"/>
      <c r="R31" s="131"/>
      <c r="S31" s="131"/>
      <c r="T31" s="124" t="s">
        <v>865</v>
      </c>
      <c r="U31" s="132">
        <v>42705</v>
      </c>
      <c r="V31" s="131"/>
      <c r="W31" s="131"/>
      <c r="X31" s="131"/>
      <c r="Y31" s="124" t="s">
        <v>867</v>
      </c>
      <c r="Z31" s="124">
        <v>89119403607</v>
      </c>
    </row>
    <row r="32" spans="1:26" ht="72" x14ac:dyDescent="0.25">
      <c r="A32" s="124">
        <v>31</v>
      </c>
      <c r="B32" s="124">
        <v>1</v>
      </c>
      <c r="C32" s="125">
        <v>43799</v>
      </c>
      <c r="D32" s="126">
        <v>31</v>
      </c>
      <c r="E32" s="126">
        <v>31</v>
      </c>
      <c r="F32" s="135" t="s">
        <v>876</v>
      </c>
      <c r="G32" s="127" t="s">
        <v>877</v>
      </c>
      <c r="H32" s="127" t="s">
        <v>878</v>
      </c>
      <c r="I32" s="127" t="s">
        <v>878</v>
      </c>
      <c r="J32" s="124"/>
      <c r="K32" s="124"/>
      <c r="L32" s="127" t="s">
        <v>879</v>
      </c>
      <c r="M32" s="128" t="s">
        <v>880</v>
      </c>
      <c r="N32" s="130">
        <v>2081200</v>
      </c>
      <c r="O32" s="130">
        <v>520300</v>
      </c>
      <c r="P32" s="131"/>
      <c r="Q32" s="131"/>
      <c r="R32" s="131"/>
      <c r="S32" s="131"/>
      <c r="T32" s="124" t="s">
        <v>879</v>
      </c>
      <c r="U32" s="132">
        <v>42851</v>
      </c>
      <c r="V32" s="131"/>
      <c r="W32" s="131"/>
      <c r="X32" s="131"/>
      <c r="Y32" s="124" t="s">
        <v>881</v>
      </c>
      <c r="Z32" s="124">
        <v>89817504214</v>
      </c>
    </row>
    <row r="33" spans="1:26" ht="72" x14ac:dyDescent="0.25">
      <c r="A33" s="124">
        <v>32</v>
      </c>
      <c r="B33" s="124">
        <v>1</v>
      </c>
      <c r="C33" s="125">
        <v>43799</v>
      </c>
      <c r="D33" s="133">
        <v>32</v>
      </c>
      <c r="E33" s="133">
        <v>32</v>
      </c>
      <c r="F33" s="127" t="s">
        <v>882</v>
      </c>
      <c r="G33" s="127" t="s">
        <v>883</v>
      </c>
      <c r="H33" s="127" t="s">
        <v>884</v>
      </c>
      <c r="I33" s="127" t="s">
        <v>884</v>
      </c>
      <c r="J33" s="124"/>
      <c r="K33" s="124"/>
      <c r="L33" s="127" t="s">
        <v>885</v>
      </c>
      <c r="M33" s="128" t="s">
        <v>886</v>
      </c>
      <c r="N33" s="130">
        <v>2326500</v>
      </c>
      <c r="O33" s="130"/>
      <c r="P33" s="131"/>
      <c r="Q33" s="131"/>
      <c r="R33" s="131"/>
      <c r="S33" s="131"/>
      <c r="T33" s="124" t="s">
        <v>885</v>
      </c>
      <c r="U33" s="132">
        <v>42417</v>
      </c>
      <c r="V33" s="131"/>
      <c r="W33" s="131"/>
      <c r="X33" s="131"/>
      <c r="Y33" s="124" t="s">
        <v>766</v>
      </c>
      <c r="Z33" s="124">
        <v>89062433465</v>
      </c>
    </row>
    <row r="34" spans="1:26" ht="84" x14ac:dyDescent="0.25">
      <c r="A34" s="124">
        <v>33</v>
      </c>
      <c r="B34" s="124">
        <v>1</v>
      </c>
      <c r="C34" s="125">
        <v>43799</v>
      </c>
      <c r="D34" s="126">
        <v>33</v>
      </c>
      <c r="E34" s="126">
        <v>33</v>
      </c>
      <c r="F34" s="127" t="s">
        <v>888</v>
      </c>
      <c r="G34" s="127" t="s">
        <v>889</v>
      </c>
      <c r="H34" s="127" t="s">
        <v>890</v>
      </c>
      <c r="I34" s="127" t="s">
        <v>890</v>
      </c>
      <c r="J34" s="124"/>
      <c r="K34" s="124"/>
      <c r="L34" s="127" t="s">
        <v>887</v>
      </c>
      <c r="M34" s="128" t="s">
        <v>891</v>
      </c>
      <c r="N34" s="130">
        <v>1964194</v>
      </c>
      <c r="O34" s="130"/>
      <c r="P34" s="131"/>
      <c r="Q34" s="131"/>
      <c r="R34" s="131"/>
      <c r="S34" s="131"/>
      <c r="T34" s="124" t="s">
        <v>887</v>
      </c>
      <c r="U34" s="132">
        <v>42878</v>
      </c>
      <c r="V34" s="131"/>
      <c r="W34" s="131"/>
      <c r="X34" s="131"/>
      <c r="Y34" s="124" t="s">
        <v>766</v>
      </c>
      <c r="Z34" s="124">
        <v>89214423010</v>
      </c>
    </row>
    <row r="35" spans="1:26" ht="72" x14ac:dyDescent="0.25">
      <c r="A35" s="124">
        <v>34</v>
      </c>
      <c r="B35" s="124">
        <v>1</v>
      </c>
      <c r="C35" s="125">
        <v>43966</v>
      </c>
      <c r="D35" s="133">
        <v>34</v>
      </c>
      <c r="E35" s="133">
        <v>34</v>
      </c>
      <c r="F35" s="127" t="s">
        <v>892</v>
      </c>
      <c r="G35" s="127" t="s">
        <v>900</v>
      </c>
      <c r="H35" s="127" t="s">
        <v>903</v>
      </c>
      <c r="I35" s="127" t="s">
        <v>903</v>
      </c>
      <c r="J35" s="124"/>
      <c r="K35" s="124"/>
      <c r="L35" s="128" t="s">
        <v>897</v>
      </c>
      <c r="M35" s="128" t="s">
        <v>912</v>
      </c>
      <c r="N35" s="130">
        <v>504900</v>
      </c>
      <c r="O35" s="130"/>
      <c r="P35" s="131"/>
      <c r="Q35" s="131" t="s">
        <v>1174</v>
      </c>
      <c r="R35" s="131"/>
      <c r="S35" s="131" t="s">
        <v>898</v>
      </c>
      <c r="T35" s="131" t="s">
        <v>897</v>
      </c>
      <c r="U35" s="132">
        <v>42682</v>
      </c>
      <c r="V35" s="131"/>
      <c r="W35" s="131">
        <v>3750</v>
      </c>
      <c r="X35" s="131">
        <v>200856.09</v>
      </c>
      <c r="Y35" s="124" t="s">
        <v>899</v>
      </c>
      <c r="Z35" s="124" t="s">
        <v>896</v>
      </c>
    </row>
    <row r="36" spans="1:26" ht="48" x14ac:dyDescent="0.25">
      <c r="A36" s="124">
        <v>35</v>
      </c>
      <c r="B36" s="124">
        <v>1</v>
      </c>
      <c r="C36" s="125">
        <v>43966</v>
      </c>
      <c r="D36" s="126">
        <v>35</v>
      </c>
      <c r="E36" s="126">
        <v>35</v>
      </c>
      <c r="F36" s="127" t="s">
        <v>893</v>
      </c>
      <c r="G36" s="127" t="s">
        <v>902</v>
      </c>
      <c r="H36" s="127" t="s">
        <v>903</v>
      </c>
      <c r="I36" s="127" t="s">
        <v>903</v>
      </c>
      <c r="J36" s="124"/>
      <c r="K36" s="124"/>
      <c r="L36" s="128" t="s">
        <v>897</v>
      </c>
      <c r="M36" s="128" t="s">
        <v>912</v>
      </c>
      <c r="N36" s="130">
        <v>504900</v>
      </c>
      <c r="O36" s="130"/>
      <c r="P36" s="131"/>
      <c r="Q36" s="131" t="s">
        <v>1174</v>
      </c>
      <c r="R36" s="131"/>
      <c r="S36" s="131" t="s">
        <v>898</v>
      </c>
      <c r="T36" s="131" t="s">
        <v>897</v>
      </c>
      <c r="U36" s="132">
        <v>42682</v>
      </c>
      <c r="V36" s="131"/>
      <c r="W36" s="131">
        <v>3750</v>
      </c>
      <c r="X36" s="131">
        <v>200856.09</v>
      </c>
      <c r="Y36" s="124" t="s">
        <v>904</v>
      </c>
      <c r="Z36" s="124" t="s">
        <v>896</v>
      </c>
    </row>
    <row r="37" spans="1:26" ht="84" x14ac:dyDescent="0.25">
      <c r="A37" s="124">
        <v>36</v>
      </c>
      <c r="B37" s="124">
        <v>1</v>
      </c>
      <c r="C37" s="125">
        <v>43966</v>
      </c>
      <c r="D37" s="133">
        <v>36</v>
      </c>
      <c r="E37" s="133">
        <v>36</v>
      </c>
      <c r="F37" s="127" t="s">
        <v>894</v>
      </c>
      <c r="G37" s="127" t="s">
        <v>1173</v>
      </c>
      <c r="H37" s="127" t="s">
        <v>903</v>
      </c>
      <c r="I37" s="127" t="s">
        <v>903</v>
      </c>
      <c r="J37" s="124"/>
      <c r="K37" s="124"/>
      <c r="L37" s="128" t="s">
        <v>897</v>
      </c>
      <c r="M37" s="128" t="s">
        <v>912</v>
      </c>
      <c r="N37" s="130">
        <v>504900</v>
      </c>
      <c r="O37" s="130"/>
      <c r="P37" s="131"/>
      <c r="Q37" s="131" t="s">
        <v>1174</v>
      </c>
      <c r="R37" s="131"/>
      <c r="S37" s="131" t="s">
        <v>898</v>
      </c>
      <c r="T37" s="131" t="s">
        <v>897</v>
      </c>
      <c r="U37" s="132">
        <v>42682</v>
      </c>
      <c r="V37" s="131"/>
      <c r="W37" s="131">
        <v>3750</v>
      </c>
      <c r="X37" s="131">
        <v>200856.09</v>
      </c>
      <c r="Y37" s="124" t="s">
        <v>904</v>
      </c>
      <c r="Z37" s="124" t="s">
        <v>896</v>
      </c>
    </row>
    <row r="38" spans="1:26" ht="84" x14ac:dyDescent="0.25">
      <c r="A38" s="124">
        <v>37</v>
      </c>
      <c r="B38" s="124">
        <v>1</v>
      </c>
      <c r="C38" s="125">
        <v>43966</v>
      </c>
      <c r="D38" s="126">
        <v>37</v>
      </c>
      <c r="E38" s="126">
        <v>37</v>
      </c>
      <c r="F38" s="127" t="s">
        <v>895</v>
      </c>
      <c r="G38" s="127" t="s">
        <v>901</v>
      </c>
      <c r="H38" s="127" t="s">
        <v>903</v>
      </c>
      <c r="I38" s="127" t="s">
        <v>903</v>
      </c>
      <c r="J38" s="124"/>
      <c r="K38" s="124"/>
      <c r="L38" s="128" t="s">
        <v>897</v>
      </c>
      <c r="M38" s="128" t="s">
        <v>912</v>
      </c>
      <c r="N38" s="130">
        <v>504900</v>
      </c>
      <c r="O38" s="130"/>
      <c r="P38" s="131"/>
      <c r="Q38" s="131" t="s">
        <v>1174</v>
      </c>
      <c r="R38" s="131"/>
      <c r="S38" s="131" t="s">
        <v>898</v>
      </c>
      <c r="T38" s="131" t="s">
        <v>897</v>
      </c>
      <c r="U38" s="132">
        <v>42682</v>
      </c>
      <c r="V38" s="131"/>
      <c r="W38" s="131">
        <v>3750</v>
      </c>
      <c r="X38" s="131">
        <v>200856.09</v>
      </c>
      <c r="Y38" s="124" t="s">
        <v>904</v>
      </c>
      <c r="Z38" s="124" t="s">
        <v>896</v>
      </c>
    </row>
    <row r="39" spans="1:26" ht="84" x14ac:dyDescent="0.25">
      <c r="A39" s="124">
        <v>38</v>
      </c>
      <c r="B39" s="124">
        <v>1</v>
      </c>
      <c r="C39" s="125">
        <v>43839</v>
      </c>
      <c r="D39" s="133">
        <v>38</v>
      </c>
      <c r="E39" s="133">
        <v>38</v>
      </c>
      <c r="F39" s="127" t="s">
        <v>905</v>
      </c>
      <c r="G39" s="127" t="s">
        <v>910</v>
      </c>
      <c r="H39" s="127" t="s">
        <v>907</v>
      </c>
      <c r="I39" s="127" t="s">
        <v>907</v>
      </c>
      <c r="J39" s="124"/>
      <c r="K39" s="124"/>
      <c r="L39" s="127" t="s">
        <v>911</v>
      </c>
      <c r="M39" s="128" t="s">
        <v>913</v>
      </c>
      <c r="N39" s="130">
        <v>1001700</v>
      </c>
      <c r="O39" s="130"/>
      <c r="P39" s="131"/>
      <c r="Q39" s="131"/>
      <c r="R39" s="131"/>
      <c r="S39" s="131"/>
      <c r="T39" s="124" t="s">
        <v>911</v>
      </c>
      <c r="U39" s="132">
        <v>42822</v>
      </c>
      <c r="V39" s="131"/>
      <c r="W39" s="131"/>
      <c r="X39" s="131"/>
      <c r="Y39" s="124" t="s">
        <v>766</v>
      </c>
      <c r="Z39" s="124">
        <v>89811599379</v>
      </c>
    </row>
    <row r="40" spans="1:26" ht="108" x14ac:dyDescent="0.25">
      <c r="A40" s="124">
        <v>39</v>
      </c>
      <c r="B40" s="124">
        <v>1</v>
      </c>
      <c r="C40" s="125">
        <v>43819</v>
      </c>
      <c r="D40" s="126">
        <v>39</v>
      </c>
      <c r="E40" s="126">
        <v>39</v>
      </c>
      <c r="F40" s="127" t="s">
        <v>920</v>
      </c>
      <c r="G40" s="127" t="s">
        <v>922</v>
      </c>
      <c r="H40" s="127" t="s">
        <v>923</v>
      </c>
      <c r="I40" s="127" t="s">
        <v>923</v>
      </c>
      <c r="J40" s="124"/>
      <c r="K40" s="124"/>
      <c r="L40" s="127" t="s">
        <v>921</v>
      </c>
      <c r="M40" s="128" t="s">
        <v>924</v>
      </c>
      <c r="N40" s="130">
        <v>0</v>
      </c>
      <c r="O40" s="130" t="s">
        <v>925</v>
      </c>
      <c r="P40" s="131"/>
      <c r="Q40" s="131"/>
      <c r="R40" s="131"/>
      <c r="S40" s="131"/>
      <c r="T40" s="124" t="s">
        <v>921</v>
      </c>
      <c r="U40" s="132">
        <v>43098</v>
      </c>
      <c r="V40" s="131"/>
      <c r="W40" s="131"/>
      <c r="X40" s="131"/>
      <c r="Y40" s="124" t="s">
        <v>926</v>
      </c>
      <c r="Z40" s="124">
        <v>89119292226</v>
      </c>
    </row>
    <row r="41" spans="1:26" ht="108" x14ac:dyDescent="0.25">
      <c r="A41" s="124">
        <v>40</v>
      </c>
      <c r="B41" s="124">
        <v>1</v>
      </c>
      <c r="C41" s="125">
        <v>43804</v>
      </c>
      <c r="D41" s="133">
        <v>40</v>
      </c>
      <c r="E41" s="133">
        <v>40</v>
      </c>
      <c r="F41" s="127" t="s">
        <v>929</v>
      </c>
      <c r="G41" s="127" t="s">
        <v>932</v>
      </c>
      <c r="H41" s="127" t="s">
        <v>934</v>
      </c>
      <c r="I41" s="127" t="s">
        <v>934</v>
      </c>
      <c r="J41" s="124"/>
      <c r="K41" s="124"/>
      <c r="L41" s="127" t="s">
        <v>927</v>
      </c>
      <c r="M41" s="128" t="s">
        <v>931</v>
      </c>
      <c r="N41" s="130">
        <v>1027250</v>
      </c>
      <c r="O41" s="130">
        <v>257000</v>
      </c>
      <c r="P41" s="131"/>
      <c r="Q41" s="131"/>
      <c r="R41" s="131"/>
      <c r="S41" s="131"/>
      <c r="T41" s="124" t="s">
        <v>927</v>
      </c>
      <c r="U41" s="132">
        <v>42521</v>
      </c>
      <c r="V41" s="131"/>
      <c r="W41" s="131"/>
      <c r="X41" s="131"/>
      <c r="Y41" s="124" t="s">
        <v>928</v>
      </c>
      <c r="Z41" s="124">
        <v>89117471087</v>
      </c>
    </row>
    <row r="42" spans="1:26" ht="96" x14ac:dyDescent="0.25">
      <c r="A42" s="124">
        <v>41</v>
      </c>
      <c r="B42" s="124">
        <v>1</v>
      </c>
      <c r="C42" s="125">
        <v>43804</v>
      </c>
      <c r="D42" s="126">
        <v>41</v>
      </c>
      <c r="E42" s="126">
        <v>41</v>
      </c>
      <c r="F42" s="127" t="s">
        <v>930</v>
      </c>
      <c r="G42" s="127" t="s">
        <v>933</v>
      </c>
      <c r="H42" s="127" t="s">
        <v>934</v>
      </c>
      <c r="I42" s="127" t="s">
        <v>934</v>
      </c>
      <c r="J42" s="124"/>
      <c r="K42" s="124"/>
      <c r="L42" s="127" t="s">
        <v>927</v>
      </c>
      <c r="M42" s="128" t="s">
        <v>931</v>
      </c>
      <c r="N42" s="130">
        <v>1027250</v>
      </c>
      <c r="O42" s="130">
        <v>257000</v>
      </c>
      <c r="P42" s="131"/>
      <c r="Q42" s="131"/>
      <c r="R42" s="131"/>
      <c r="S42" s="131"/>
      <c r="T42" s="124" t="s">
        <v>927</v>
      </c>
      <c r="U42" s="132">
        <v>42521</v>
      </c>
      <c r="V42" s="131"/>
      <c r="W42" s="131"/>
      <c r="X42" s="131"/>
      <c r="Y42" s="124" t="s">
        <v>928</v>
      </c>
      <c r="Z42" s="124">
        <v>89117471087</v>
      </c>
    </row>
    <row r="43" spans="1:26" ht="96" x14ac:dyDescent="0.25">
      <c r="A43" s="124">
        <v>42</v>
      </c>
      <c r="B43" s="124">
        <v>1</v>
      </c>
      <c r="C43" s="125">
        <v>43819</v>
      </c>
      <c r="D43" s="133">
        <v>42</v>
      </c>
      <c r="E43" s="133">
        <v>42</v>
      </c>
      <c r="F43" s="127" t="s">
        <v>935</v>
      </c>
      <c r="G43" s="127" t="s">
        <v>936</v>
      </c>
      <c r="H43" s="127" t="s">
        <v>937</v>
      </c>
      <c r="I43" s="127" t="s">
        <v>937</v>
      </c>
      <c r="J43" s="124"/>
      <c r="K43" s="124"/>
      <c r="L43" s="127" t="s">
        <v>938</v>
      </c>
      <c r="M43" s="128" t="s">
        <v>939</v>
      </c>
      <c r="N43" s="130">
        <v>1815600</v>
      </c>
      <c r="O43" s="130"/>
      <c r="P43" s="131"/>
      <c r="Q43" s="131"/>
      <c r="R43" s="131"/>
      <c r="S43" s="131"/>
      <c r="T43" s="124" t="s">
        <v>938</v>
      </c>
      <c r="U43" s="132">
        <v>42459</v>
      </c>
      <c r="V43" s="131"/>
      <c r="W43" s="131"/>
      <c r="X43" s="131"/>
      <c r="Y43" s="124" t="s">
        <v>766</v>
      </c>
      <c r="Z43" s="124">
        <v>89217447765</v>
      </c>
    </row>
    <row r="44" spans="1:26" ht="108" x14ac:dyDescent="0.25">
      <c r="A44" s="124">
        <v>43</v>
      </c>
      <c r="B44" s="124">
        <v>1</v>
      </c>
      <c r="C44" s="125">
        <v>43811</v>
      </c>
      <c r="D44" s="126">
        <v>43</v>
      </c>
      <c r="E44" s="126">
        <v>43</v>
      </c>
      <c r="F44" s="127" t="s">
        <v>940</v>
      </c>
      <c r="G44" s="127" t="s">
        <v>950</v>
      </c>
      <c r="H44" s="127" t="s">
        <v>943</v>
      </c>
      <c r="I44" s="127" t="s">
        <v>944</v>
      </c>
      <c r="J44" s="124"/>
      <c r="K44" s="124"/>
      <c r="L44" s="127" t="s">
        <v>945</v>
      </c>
      <c r="M44" s="128" t="s">
        <v>946</v>
      </c>
      <c r="N44" s="130">
        <v>590700</v>
      </c>
      <c r="O44" s="130"/>
      <c r="P44" s="131"/>
      <c r="Q44" s="131"/>
      <c r="R44" s="131"/>
      <c r="S44" s="131"/>
      <c r="T44" s="124" t="s">
        <v>945</v>
      </c>
      <c r="U44" s="132">
        <v>42629</v>
      </c>
      <c r="V44" s="131"/>
      <c r="W44" s="131"/>
      <c r="X44" s="131"/>
      <c r="Y44" s="124" t="s">
        <v>766</v>
      </c>
      <c r="Z44" s="124" t="s">
        <v>947</v>
      </c>
    </row>
    <row r="45" spans="1:26" ht="108" x14ac:dyDescent="0.25">
      <c r="A45" s="124">
        <v>44</v>
      </c>
      <c r="B45" s="124">
        <v>1</v>
      </c>
      <c r="C45" s="125">
        <v>43811</v>
      </c>
      <c r="D45" s="133">
        <v>44</v>
      </c>
      <c r="E45" s="133">
        <v>44</v>
      </c>
      <c r="F45" s="127" t="s">
        <v>941</v>
      </c>
      <c r="G45" s="127" t="s">
        <v>948</v>
      </c>
      <c r="H45" s="127" t="s">
        <v>943</v>
      </c>
      <c r="I45" s="127" t="s">
        <v>944</v>
      </c>
      <c r="J45" s="124"/>
      <c r="K45" s="124"/>
      <c r="L45" s="127" t="s">
        <v>945</v>
      </c>
      <c r="M45" s="128" t="s">
        <v>946</v>
      </c>
      <c r="N45" s="130">
        <v>590700</v>
      </c>
      <c r="O45" s="130"/>
      <c r="P45" s="131"/>
      <c r="Q45" s="131"/>
      <c r="R45" s="131"/>
      <c r="S45" s="131"/>
      <c r="T45" s="124" t="s">
        <v>945</v>
      </c>
      <c r="U45" s="132">
        <v>42629</v>
      </c>
      <c r="V45" s="131"/>
      <c r="W45" s="131"/>
      <c r="X45" s="131"/>
      <c r="Y45" s="124" t="s">
        <v>766</v>
      </c>
      <c r="Z45" s="124">
        <v>89215979088</v>
      </c>
    </row>
    <row r="46" spans="1:26" ht="108" x14ac:dyDescent="0.25">
      <c r="A46" s="124">
        <v>45</v>
      </c>
      <c r="B46" s="124">
        <v>1</v>
      </c>
      <c r="C46" s="125">
        <v>43811</v>
      </c>
      <c r="D46" s="126">
        <v>45</v>
      </c>
      <c r="E46" s="126">
        <v>45</v>
      </c>
      <c r="F46" s="127" t="s">
        <v>942</v>
      </c>
      <c r="G46" s="127" t="s">
        <v>949</v>
      </c>
      <c r="H46" s="127" t="s">
        <v>943</v>
      </c>
      <c r="I46" s="127" t="s">
        <v>944</v>
      </c>
      <c r="J46" s="124"/>
      <c r="K46" s="124"/>
      <c r="L46" s="127" t="s">
        <v>945</v>
      </c>
      <c r="M46" s="128" t="s">
        <v>946</v>
      </c>
      <c r="N46" s="130">
        <v>590700</v>
      </c>
      <c r="O46" s="130"/>
      <c r="P46" s="131"/>
      <c r="Q46" s="131"/>
      <c r="R46" s="131"/>
      <c r="S46" s="131"/>
      <c r="T46" s="124" t="s">
        <v>945</v>
      </c>
      <c r="U46" s="132">
        <v>42629</v>
      </c>
      <c r="V46" s="131"/>
      <c r="W46" s="131"/>
      <c r="X46" s="131"/>
      <c r="Y46" s="124" t="s">
        <v>766</v>
      </c>
      <c r="Z46" s="124">
        <v>89216578605</v>
      </c>
    </row>
    <row r="47" spans="1:26" ht="84" x14ac:dyDescent="0.25">
      <c r="A47" s="124">
        <v>46</v>
      </c>
      <c r="B47" s="124">
        <v>1</v>
      </c>
      <c r="C47" s="125">
        <v>43845</v>
      </c>
      <c r="D47" s="133">
        <v>46</v>
      </c>
      <c r="E47" s="133">
        <v>46</v>
      </c>
      <c r="F47" s="127" t="s">
        <v>951</v>
      </c>
      <c r="G47" s="127" t="s">
        <v>952</v>
      </c>
      <c r="H47" s="127" t="s">
        <v>954</v>
      </c>
      <c r="I47" s="127" t="s">
        <v>954</v>
      </c>
      <c r="J47" s="124"/>
      <c r="K47" s="124"/>
      <c r="L47" s="127" t="s">
        <v>953</v>
      </c>
      <c r="M47" s="128" t="s">
        <v>955</v>
      </c>
      <c r="N47" s="130">
        <v>3685914</v>
      </c>
      <c r="O47" s="130">
        <v>921479</v>
      </c>
      <c r="P47" s="131"/>
      <c r="Q47" s="131"/>
      <c r="R47" s="131"/>
      <c r="S47" s="131"/>
      <c r="T47" s="124" t="s">
        <v>953</v>
      </c>
      <c r="U47" s="132">
        <v>42901</v>
      </c>
      <c r="V47" s="131"/>
      <c r="W47" s="131"/>
      <c r="X47" s="131"/>
      <c r="Y47" s="124" t="s">
        <v>956</v>
      </c>
      <c r="Z47" s="124">
        <v>89313346656</v>
      </c>
    </row>
    <row r="48" spans="1:26" ht="84" x14ac:dyDescent="0.25">
      <c r="A48" s="124">
        <v>47</v>
      </c>
      <c r="B48" s="124">
        <v>1</v>
      </c>
      <c r="C48" s="125">
        <v>43804</v>
      </c>
      <c r="D48" s="126">
        <v>47</v>
      </c>
      <c r="E48" s="126">
        <v>47</v>
      </c>
      <c r="F48" s="127" t="s">
        <v>957</v>
      </c>
      <c r="G48" s="127" t="s">
        <v>966</v>
      </c>
      <c r="H48" s="127" t="s">
        <v>961</v>
      </c>
      <c r="I48" s="127" t="s">
        <v>962</v>
      </c>
      <c r="J48" s="124"/>
      <c r="K48" s="124"/>
      <c r="L48" s="127" t="s">
        <v>963</v>
      </c>
      <c r="M48" s="128" t="s">
        <v>964</v>
      </c>
      <c r="N48" s="130" t="s">
        <v>965</v>
      </c>
      <c r="O48" s="130"/>
      <c r="P48" s="131"/>
      <c r="Q48" s="131"/>
      <c r="R48" s="131"/>
      <c r="S48" s="131"/>
      <c r="T48" s="124" t="s">
        <v>963</v>
      </c>
      <c r="U48" s="132">
        <v>42634</v>
      </c>
      <c r="V48" s="131"/>
      <c r="W48" s="131"/>
      <c r="X48" s="131"/>
      <c r="Y48" s="124" t="s">
        <v>766</v>
      </c>
      <c r="Z48" s="124">
        <v>89213617305</v>
      </c>
    </row>
    <row r="49" spans="1:26" ht="84" x14ac:dyDescent="0.25">
      <c r="A49" s="124">
        <v>48</v>
      </c>
      <c r="B49" s="124">
        <v>1</v>
      </c>
      <c r="C49" s="125">
        <v>43804</v>
      </c>
      <c r="D49" s="133">
        <v>48</v>
      </c>
      <c r="E49" s="133">
        <v>48</v>
      </c>
      <c r="F49" s="127" t="s">
        <v>958</v>
      </c>
      <c r="G49" s="127" t="s">
        <v>967</v>
      </c>
      <c r="H49" s="127" t="s">
        <v>961</v>
      </c>
      <c r="I49" s="127" t="s">
        <v>962</v>
      </c>
      <c r="J49" s="124"/>
      <c r="K49" s="124"/>
      <c r="L49" s="127" t="s">
        <v>963</v>
      </c>
      <c r="M49" s="128" t="s">
        <v>964</v>
      </c>
      <c r="N49" s="130" t="s">
        <v>965</v>
      </c>
      <c r="O49" s="130"/>
      <c r="P49" s="131"/>
      <c r="Q49" s="131"/>
      <c r="R49" s="131"/>
      <c r="S49" s="131"/>
      <c r="T49" s="124" t="s">
        <v>963</v>
      </c>
      <c r="U49" s="132">
        <v>42634</v>
      </c>
      <c r="V49" s="131"/>
      <c r="W49" s="131"/>
      <c r="X49" s="131"/>
      <c r="Y49" s="124" t="s">
        <v>766</v>
      </c>
      <c r="Z49" s="124">
        <v>89213614828</v>
      </c>
    </row>
    <row r="50" spans="1:26" ht="84" x14ac:dyDescent="0.25">
      <c r="A50" s="124">
        <v>49</v>
      </c>
      <c r="B50" s="124">
        <v>1</v>
      </c>
      <c r="C50" s="125">
        <v>43804</v>
      </c>
      <c r="D50" s="126">
        <v>49</v>
      </c>
      <c r="E50" s="126">
        <v>49</v>
      </c>
      <c r="F50" s="127" t="s">
        <v>959</v>
      </c>
      <c r="G50" s="127" t="s">
        <v>968</v>
      </c>
      <c r="H50" s="127" t="s">
        <v>961</v>
      </c>
      <c r="I50" s="127" t="s">
        <v>962</v>
      </c>
      <c r="J50" s="124"/>
      <c r="K50" s="124"/>
      <c r="L50" s="127" t="s">
        <v>963</v>
      </c>
      <c r="M50" s="128" t="s">
        <v>964</v>
      </c>
      <c r="N50" s="130" t="s">
        <v>965</v>
      </c>
      <c r="O50" s="130"/>
      <c r="P50" s="131"/>
      <c r="Q50" s="131"/>
      <c r="R50" s="131"/>
      <c r="S50" s="131"/>
      <c r="T50" s="124" t="s">
        <v>963</v>
      </c>
      <c r="U50" s="132">
        <v>42634</v>
      </c>
      <c r="V50" s="131"/>
      <c r="W50" s="131"/>
      <c r="X50" s="131"/>
      <c r="Y50" s="124" t="s">
        <v>766</v>
      </c>
      <c r="Z50" s="124">
        <v>89119906526</v>
      </c>
    </row>
    <row r="51" spans="1:26" ht="84" x14ac:dyDescent="0.25">
      <c r="A51" s="124">
        <v>50</v>
      </c>
      <c r="B51" s="124">
        <v>1</v>
      </c>
      <c r="C51" s="125">
        <v>43804</v>
      </c>
      <c r="D51" s="133">
        <v>50</v>
      </c>
      <c r="E51" s="133">
        <v>50</v>
      </c>
      <c r="F51" s="127" t="s">
        <v>960</v>
      </c>
      <c r="G51" s="127" t="s">
        <v>969</v>
      </c>
      <c r="H51" s="127" t="s">
        <v>961</v>
      </c>
      <c r="I51" s="127" t="s">
        <v>962</v>
      </c>
      <c r="J51" s="124"/>
      <c r="K51" s="124"/>
      <c r="L51" s="127" t="s">
        <v>963</v>
      </c>
      <c r="M51" s="128" t="s">
        <v>964</v>
      </c>
      <c r="N51" s="130" t="s">
        <v>965</v>
      </c>
      <c r="O51" s="130"/>
      <c r="P51" s="131"/>
      <c r="Q51" s="131"/>
      <c r="R51" s="131"/>
      <c r="S51" s="131"/>
      <c r="T51" s="124" t="s">
        <v>963</v>
      </c>
      <c r="U51" s="132">
        <v>42634</v>
      </c>
      <c r="V51" s="131"/>
      <c r="W51" s="131"/>
      <c r="X51" s="131"/>
      <c r="Y51" s="124" t="s">
        <v>766</v>
      </c>
      <c r="Z51" s="124">
        <v>89522579357</v>
      </c>
    </row>
    <row r="52" spans="1:26" ht="96" x14ac:dyDescent="0.25">
      <c r="A52" s="124">
        <v>51</v>
      </c>
      <c r="B52" s="124">
        <v>1</v>
      </c>
      <c r="C52" s="125">
        <v>43839</v>
      </c>
      <c r="D52" s="126">
        <v>51</v>
      </c>
      <c r="E52" s="126">
        <v>51</v>
      </c>
      <c r="F52" s="127" t="s">
        <v>906</v>
      </c>
      <c r="G52" s="127" t="s">
        <v>909</v>
      </c>
      <c r="H52" s="127" t="s">
        <v>908</v>
      </c>
      <c r="I52" s="127" t="s">
        <v>908</v>
      </c>
      <c r="J52" s="124"/>
      <c r="K52" s="124"/>
      <c r="L52" s="127" t="s">
        <v>911</v>
      </c>
      <c r="M52" s="128" t="s">
        <v>913</v>
      </c>
      <c r="N52" s="130">
        <v>1001700</v>
      </c>
      <c r="O52" s="130"/>
      <c r="P52" s="131"/>
      <c r="Q52" s="131"/>
      <c r="R52" s="131"/>
      <c r="S52" s="131"/>
      <c r="T52" s="124" t="s">
        <v>911</v>
      </c>
      <c r="U52" s="132">
        <v>42822</v>
      </c>
      <c r="V52" s="131"/>
      <c r="W52" s="131"/>
      <c r="X52" s="131"/>
      <c r="Y52" s="124" t="s">
        <v>766</v>
      </c>
      <c r="Z52" s="124">
        <v>89216542965</v>
      </c>
    </row>
    <row r="53" spans="1:26" ht="108" x14ac:dyDescent="0.25">
      <c r="A53" s="124">
        <v>52</v>
      </c>
      <c r="B53" s="124">
        <v>1</v>
      </c>
      <c r="C53" s="125">
        <v>43808</v>
      </c>
      <c r="D53" s="133">
        <v>52</v>
      </c>
      <c r="E53" s="133">
        <v>52</v>
      </c>
      <c r="F53" s="127" t="s">
        <v>914</v>
      </c>
      <c r="G53" s="127" t="s">
        <v>915</v>
      </c>
      <c r="H53" s="127" t="s">
        <v>916</v>
      </c>
      <c r="I53" s="127" t="s">
        <v>916</v>
      </c>
      <c r="J53" s="124"/>
      <c r="K53" s="124"/>
      <c r="L53" s="127" t="s">
        <v>917</v>
      </c>
      <c r="M53" s="128" t="s">
        <v>918</v>
      </c>
      <c r="N53" s="130">
        <v>1927269</v>
      </c>
      <c r="O53" s="130">
        <v>340106</v>
      </c>
      <c r="P53" s="131"/>
      <c r="Q53" s="131"/>
      <c r="R53" s="131"/>
      <c r="S53" s="131"/>
      <c r="T53" s="124" t="s">
        <v>917</v>
      </c>
      <c r="U53" s="132">
        <v>42622</v>
      </c>
      <c r="V53" s="131"/>
      <c r="W53" s="131"/>
      <c r="X53" s="131"/>
      <c r="Y53" s="124" t="s">
        <v>919</v>
      </c>
      <c r="Z53" s="124">
        <v>89811047442</v>
      </c>
    </row>
    <row r="54" spans="1:26" ht="108" x14ac:dyDescent="0.25">
      <c r="A54" s="124">
        <v>53</v>
      </c>
      <c r="B54" s="124">
        <v>1</v>
      </c>
      <c r="C54" s="125">
        <v>43850</v>
      </c>
      <c r="D54" s="126">
        <v>53</v>
      </c>
      <c r="E54" s="126">
        <v>53</v>
      </c>
      <c r="F54" s="127" t="s">
        <v>970</v>
      </c>
      <c r="G54" s="127" t="s">
        <v>971</v>
      </c>
      <c r="H54" s="127" t="s">
        <v>974</v>
      </c>
      <c r="I54" s="127" t="s">
        <v>974</v>
      </c>
      <c r="J54" s="124"/>
      <c r="K54" s="124"/>
      <c r="L54" s="127" t="s">
        <v>975</v>
      </c>
      <c r="M54" s="128" t="s">
        <v>976</v>
      </c>
      <c r="N54" s="130">
        <v>1934920</v>
      </c>
      <c r="O54" s="130">
        <v>483730</v>
      </c>
      <c r="P54" s="131"/>
      <c r="Q54" s="131"/>
      <c r="R54" s="131"/>
      <c r="S54" s="131"/>
      <c r="T54" s="124" t="s">
        <v>975</v>
      </c>
      <c r="U54" s="132">
        <v>42695</v>
      </c>
      <c r="V54" s="131"/>
      <c r="W54" s="131"/>
      <c r="X54" s="131"/>
      <c r="Y54" s="124" t="s">
        <v>919</v>
      </c>
      <c r="Z54" s="124">
        <v>89315397712</v>
      </c>
    </row>
    <row r="55" spans="1:26" ht="84" x14ac:dyDescent="0.25">
      <c r="A55" s="124">
        <v>54</v>
      </c>
      <c r="B55" s="124">
        <v>1</v>
      </c>
      <c r="C55" s="125">
        <v>43839</v>
      </c>
      <c r="D55" s="133">
        <v>54</v>
      </c>
      <c r="E55" s="133">
        <v>54</v>
      </c>
      <c r="F55" s="127" t="s">
        <v>977</v>
      </c>
      <c r="G55" s="127" t="s">
        <v>979</v>
      </c>
      <c r="H55" s="127" t="s">
        <v>981</v>
      </c>
      <c r="I55" s="127" t="s">
        <v>981</v>
      </c>
      <c r="J55" s="124"/>
      <c r="K55" s="124"/>
      <c r="L55" s="127" t="s">
        <v>983</v>
      </c>
      <c r="M55" s="128" t="s">
        <v>982</v>
      </c>
      <c r="N55" s="130">
        <v>1220000</v>
      </c>
      <c r="O55" s="130"/>
      <c r="P55" s="131"/>
      <c r="Q55" s="131"/>
      <c r="R55" s="131"/>
      <c r="S55" s="131"/>
      <c r="T55" s="124" t="s">
        <v>983</v>
      </c>
      <c r="U55" s="132">
        <v>42630</v>
      </c>
      <c r="V55" s="131"/>
      <c r="W55" s="131"/>
      <c r="X55" s="131"/>
      <c r="Y55" s="124" t="s">
        <v>766</v>
      </c>
      <c r="Z55" s="124">
        <v>89250180046</v>
      </c>
    </row>
    <row r="56" spans="1:26" ht="60" x14ac:dyDescent="0.25">
      <c r="A56" s="124">
        <v>55</v>
      </c>
      <c r="B56" s="124">
        <v>1</v>
      </c>
      <c r="C56" s="125">
        <v>43839</v>
      </c>
      <c r="D56" s="126">
        <v>55</v>
      </c>
      <c r="E56" s="126">
        <v>55</v>
      </c>
      <c r="F56" s="127" t="s">
        <v>978</v>
      </c>
      <c r="G56" s="127" t="s">
        <v>980</v>
      </c>
      <c r="H56" s="127" t="s">
        <v>981</v>
      </c>
      <c r="I56" s="127" t="s">
        <v>981</v>
      </c>
      <c r="J56" s="124"/>
      <c r="K56" s="124"/>
      <c r="L56" s="127" t="s">
        <v>983</v>
      </c>
      <c r="M56" s="128" t="s">
        <v>982</v>
      </c>
      <c r="N56" s="130">
        <v>1220000</v>
      </c>
      <c r="O56" s="130"/>
      <c r="P56" s="131"/>
      <c r="Q56" s="131"/>
      <c r="R56" s="131"/>
      <c r="S56" s="131"/>
      <c r="T56" s="124" t="s">
        <v>983</v>
      </c>
      <c r="U56" s="132">
        <v>42630</v>
      </c>
      <c r="V56" s="131"/>
      <c r="W56" s="131"/>
      <c r="X56" s="131"/>
      <c r="Y56" s="124" t="s">
        <v>766</v>
      </c>
      <c r="Z56" s="124">
        <v>89250180046</v>
      </c>
    </row>
    <row r="57" spans="1:26" ht="108" x14ac:dyDescent="0.25">
      <c r="A57" s="124">
        <v>56</v>
      </c>
      <c r="B57" s="124">
        <v>1</v>
      </c>
      <c r="C57" s="125">
        <v>43864</v>
      </c>
      <c r="D57" s="133">
        <v>56</v>
      </c>
      <c r="E57" s="133">
        <v>56</v>
      </c>
      <c r="F57" s="127" t="s">
        <v>984</v>
      </c>
      <c r="G57" s="127" t="s">
        <v>985</v>
      </c>
      <c r="H57" s="127" t="s">
        <v>986</v>
      </c>
      <c r="I57" s="127" t="s">
        <v>986</v>
      </c>
      <c r="J57" s="124"/>
      <c r="K57" s="124"/>
      <c r="L57" s="127" t="s">
        <v>987</v>
      </c>
      <c r="M57" s="128" t="s">
        <v>988</v>
      </c>
      <c r="N57" s="130">
        <v>2351887</v>
      </c>
      <c r="O57" s="130"/>
      <c r="P57" s="131"/>
      <c r="Q57" s="131"/>
      <c r="R57" s="131"/>
      <c r="S57" s="131"/>
      <c r="T57" s="124" t="s">
        <v>987</v>
      </c>
      <c r="U57" s="132">
        <v>42853</v>
      </c>
      <c r="V57" s="131"/>
      <c r="W57" s="131"/>
      <c r="X57" s="131"/>
      <c r="Y57" s="124" t="s">
        <v>766</v>
      </c>
      <c r="Z57" s="124">
        <v>89216375977</v>
      </c>
    </row>
    <row r="58" spans="1:26" ht="108" x14ac:dyDescent="0.25">
      <c r="A58" s="124">
        <v>57</v>
      </c>
      <c r="B58" s="124">
        <v>1</v>
      </c>
      <c r="C58" s="125">
        <v>43839</v>
      </c>
      <c r="D58" s="126">
        <v>57</v>
      </c>
      <c r="E58" s="126">
        <v>57</v>
      </c>
      <c r="F58" s="127" t="s">
        <v>989</v>
      </c>
      <c r="G58" s="127" t="s">
        <v>990</v>
      </c>
      <c r="H58" s="127" t="s">
        <v>994</v>
      </c>
      <c r="I58" s="127" t="s">
        <v>994</v>
      </c>
      <c r="J58" s="124"/>
      <c r="K58" s="124"/>
      <c r="L58" s="127" t="s">
        <v>993</v>
      </c>
      <c r="M58" s="128" t="s">
        <v>995</v>
      </c>
      <c r="N58" s="130">
        <v>1440883</v>
      </c>
      <c r="O58" s="130">
        <v>254273.5</v>
      </c>
      <c r="P58" s="131"/>
      <c r="Q58" s="131"/>
      <c r="R58" s="131"/>
      <c r="S58" s="131"/>
      <c r="T58" s="124" t="s">
        <v>993</v>
      </c>
      <c r="U58" s="125">
        <v>42627</v>
      </c>
      <c r="V58" s="131"/>
      <c r="W58" s="131"/>
      <c r="X58" s="131"/>
      <c r="Y58" s="124" t="s">
        <v>996</v>
      </c>
      <c r="Z58" s="124">
        <v>89062644485</v>
      </c>
    </row>
    <row r="59" spans="1:26" ht="84" x14ac:dyDescent="0.25">
      <c r="A59" s="124">
        <v>58</v>
      </c>
      <c r="B59" s="124">
        <v>1</v>
      </c>
      <c r="C59" s="125">
        <v>43839</v>
      </c>
      <c r="D59" s="133">
        <v>58</v>
      </c>
      <c r="E59" s="133">
        <v>58</v>
      </c>
      <c r="F59" s="127" t="s">
        <v>992</v>
      </c>
      <c r="G59" s="127" t="s">
        <v>991</v>
      </c>
      <c r="H59" s="127" t="s">
        <v>994</v>
      </c>
      <c r="I59" s="127" t="s">
        <v>994</v>
      </c>
      <c r="J59" s="124"/>
      <c r="K59" s="124"/>
      <c r="L59" s="127" t="s">
        <v>993</v>
      </c>
      <c r="M59" s="128" t="s">
        <v>995</v>
      </c>
      <c r="N59" s="130">
        <v>1440883</v>
      </c>
      <c r="O59" s="130">
        <v>254273.5</v>
      </c>
      <c r="P59" s="131"/>
      <c r="Q59" s="131"/>
      <c r="R59" s="131"/>
      <c r="S59" s="131"/>
      <c r="T59" s="124" t="s">
        <v>993</v>
      </c>
      <c r="U59" s="125">
        <v>42627</v>
      </c>
      <c r="V59" s="131"/>
      <c r="W59" s="131"/>
      <c r="X59" s="131"/>
      <c r="Y59" s="124" t="s">
        <v>996</v>
      </c>
      <c r="Z59" s="124">
        <v>89626856525</v>
      </c>
    </row>
    <row r="60" spans="1:26" ht="120" x14ac:dyDescent="0.25">
      <c r="A60" s="124">
        <v>59</v>
      </c>
      <c r="B60" s="124">
        <v>1</v>
      </c>
      <c r="C60" s="125">
        <v>43962</v>
      </c>
      <c r="D60" s="126">
        <v>59</v>
      </c>
      <c r="E60" s="126">
        <v>59</v>
      </c>
      <c r="F60" s="127" t="s">
        <v>997</v>
      </c>
      <c r="G60" s="127" t="s">
        <v>1000</v>
      </c>
      <c r="H60" s="127" t="s">
        <v>1003</v>
      </c>
      <c r="I60" s="127" t="s">
        <v>1003</v>
      </c>
      <c r="J60" s="124"/>
      <c r="K60" s="124"/>
      <c r="L60" s="127" t="s">
        <v>1004</v>
      </c>
      <c r="M60" s="128" t="s">
        <v>1006</v>
      </c>
      <c r="N60" s="130">
        <v>660000</v>
      </c>
      <c r="O60" s="130"/>
      <c r="P60" s="131"/>
      <c r="Q60" s="131" t="s">
        <v>1005</v>
      </c>
      <c r="R60" s="131"/>
      <c r="S60" s="131" t="s">
        <v>898</v>
      </c>
      <c r="T60" s="124" t="s">
        <v>1004</v>
      </c>
      <c r="U60" s="132">
        <v>42570</v>
      </c>
      <c r="V60" s="131"/>
      <c r="W60" s="131">
        <v>6666.7</v>
      </c>
      <c r="X60" s="131">
        <v>78366.7</v>
      </c>
      <c r="Y60" s="124" t="s">
        <v>919</v>
      </c>
      <c r="Z60" s="124">
        <v>89516517020</v>
      </c>
    </row>
    <row r="61" spans="1:26" ht="96" x14ac:dyDescent="0.25">
      <c r="A61" s="124">
        <v>60</v>
      </c>
      <c r="B61" s="124">
        <v>1</v>
      </c>
      <c r="C61" s="125">
        <v>43962</v>
      </c>
      <c r="D61" s="133">
        <v>60</v>
      </c>
      <c r="E61" s="133">
        <v>60</v>
      </c>
      <c r="F61" s="127" t="s">
        <v>998</v>
      </c>
      <c r="G61" s="127" t="s">
        <v>1001</v>
      </c>
      <c r="H61" s="127" t="s">
        <v>1003</v>
      </c>
      <c r="I61" s="127" t="s">
        <v>1003</v>
      </c>
      <c r="J61" s="124"/>
      <c r="K61" s="124"/>
      <c r="L61" s="127" t="s">
        <v>1004</v>
      </c>
      <c r="M61" s="128" t="s">
        <v>1006</v>
      </c>
      <c r="N61" s="130">
        <v>660000</v>
      </c>
      <c r="O61" s="130"/>
      <c r="P61" s="131"/>
      <c r="Q61" s="131" t="s">
        <v>1005</v>
      </c>
      <c r="R61" s="131"/>
      <c r="S61" s="131" t="s">
        <v>898</v>
      </c>
      <c r="T61" s="124" t="s">
        <v>1004</v>
      </c>
      <c r="U61" s="132">
        <v>42570</v>
      </c>
      <c r="V61" s="131"/>
      <c r="W61" s="131">
        <v>6666.7</v>
      </c>
      <c r="X61" s="131">
        <v>78366.7</v>
      </c>
      <c r="Y61" s="124" t="s">
        <v>919</v>
      </c>
      <c r="Z61" s="124">
        <v>89516517020</v>
      </c>
    </row>
    <row r="62" spans="1:26" ht="84" x14ac:dyDescent="0.25">
      <c r="A62" s="124">
        <v>61</v>
      </c>
      <c r="B62" s="124">
        <v>1</v>
      </c>
      <c r="C62" s="125">
        <v>43962</v>
      </c>
      <c r="D62" s="126">
        <v>61</v>
      </c>
      <c r="E62" s="126">
        <v>61</v>
      </c>
      <c r="F62" s="127" t="s">
        <v>999</v>
      </c>
      <c r="G62" s="127" t="s">
        <v>1002</v>
      </c>
      <c r="H62" s="127" t="s">
        <v>1003</v>
      </c>
      <c r="I62" s="127" t="s">
        <v>1003</v>
      </c>
      <c r="J62" s="124"/>
      <c r="K62" s="124"/>
      <c r="L62" s="127" t="s">
        <v>1004</v>
      </c>
      <c r="M62" s="128" t="s">
        <v>1006</v>
      </c>
      <c r="N62" s="130">
        <v>660000</v>
      </c>
      <c r="O62" s="130"/>
      <c r="P62" s="131"/>
      <c r="Q62" s="131" t="s">
        <v>1005</v>
      </c>
      <c r="R62" s="131"/>
      <c r="S62" s="131" t="s">
        <v>898</v>
      </c>
      <c r="T62" s="124" t="s">
        <v>1004</v>
      </c>
      <c r="U62" s="132">
        <v>42570</v>
      </c>
      <c r="V62" s="131"/>
      <c r="W62" s="131">
        <v>6666.7</v>
      </c>
      <c r="X62" s="131">
        <v>78366.7</v>
      </c>
      <c r="Y62" s="124" t="s">
        <v>919</v>
      </c>
      <c r="Z62" s="124">
        <v>89516517020</v>
      </c>
    </row>
    <row r="63" spans="1:26" ht="108" x14ac:dyDescent="0.25">
      <c r="A63" s="124">
        <v>62</v>
      </c>
      <c r="B63" s="124">
        <v>1</v>
      </c>
      <c r="C63" s="125">
        <v>43810</v>
      </c>
      <c r="D63" s="133">
        <v>62</v>
      </c>
      <c r="E63" s="133">
        <v>62</v>
      </c>
      <c r="F63" s="127" t="s">
        <v>1007</v>
      </c>
      <c r="G63" s="127" t="s">
        <v>1011</v>
      </c>
      <c r="H63" s="127" t="s">
        <v>1013</v>
      </c>
      <c r="I63" s="127" t="s">
        <v>1013</v>
      </c>
      <c r="J63" s="124"/>
      <c r="K63" s="124"/>
      <c r="L63" s="128" t="s">
        <v>1009</v>
      </c>
      <c r="M63" s="128" t="s">
        <v>1010</v>
      </c>
      <c r="N63" s="130">
        <v>951947</v>
      </c>
      <c r="O63" s="130">
        <v>167990.5</v>
      </c>
      <c r="P63" s="131"/>
      <c r="Q63" s="131"/>
      <c r="R63" s="131"/>
      <c r="S63" s="131"/>
      <c r="T63" s="131" t="s">
        <v>1009</v>
      </c>
      <c r="U63" s="132">
        <v>42563</v>
      </c>
      <c r="V63" s="131"/>
      <c r="W63" s="131"/>
      <c r="X63" s="131"/>
      <c r="Y63" s="124" t="s">
        <v>919</v>
      </c>
      <c r="Z63" s="124">
        <v>89818406662</v>
      </c>
    </row>
    <row r="64" spans="1:26" ht="108" x14ac:dyDescent="0.25">
      <c r="A64" s="124">
        <v>63</v>
      </c>
      <c r="B64" s="124">
        <v>1</v>
      </c>
      <c r="C64" s="125">
        <v>43810</v>
      </c>
      <c r="D64" s="126">
        <v>63</v>
      </c>
      <c r="E64" s="126">
        <v>63</v>
      </c>
      <c r="F64" s="127" t="s">
        <v>1008</v>
      </c>
      <c r="G64" s="127" t="s">
        <v>1012</v>
      </c>
      <c r="H64" s="127" t="s">
        <v>1014</v>
      </c>
      <c r="I64" s="127" t="s">
        <v>1014</v>
      </c>
      <c r="J64" s="124"/>
      <c r="K64" s="124"/>
      <c r="L64" s="128" t="s">
        <v>1009</v>
      </c>
      <c r="M64" s="128" t="s">
        <v>1010</v>
      </c>
      <c r="N64" s="130">
        <v>951947</v>
      </c>
      <c r="O64" s="130">
        <v>167990.5</v>
      </c>
      <c r="P64" s="131"/>
      <c r="Q64" s="131"/>
      <c r="R64" s="131"/>
      <c r="S64" s="131"/>
      <c r="T64" s="131" t="s">
        <v>1009</v>
      </c>
      <c r="U64" s="132">
        <v>42563</v>
      </c>
      <c r="V64" s="131"/>
      <c r="W64" s="131"/>
      <c r="X64" s="131"/>
      <c r="Y64" s="124" t="s">
        <v>919</v>
      </c>
      <c r="Z64" s="124">
        <v>89818541845</v>
      </c>
    </row>
    <row r="65" spans="1:26" ht="120" x14ac:dyDescent="0.25">
      <c r="A65" s="124">
        <v>64</v>
      </c>
      <c r="B65" s="124">
        <v>1</v>
      </c>
      <c r="C65" s="125">
        <v>43819</v>
      </c>
      <c r="D65" s="133">
        <v>64</v>
      </c>
      <c r="E65" s="133">
        <v>64</v>
      </c>
      <c r="F65" s="127" t="s">
        <v>1016</v>
      </c>
      <c r="G65" s="127" t="s">
        <v>1017</v>
      </c>
      <c r="H65" s="127" t="s">
        <v>1019</v>
      </c>
      <c r="I65" s="127" t="s">
        <v>1019</v>
      </c>
      <c r="J65" s="124"/>
      <c r="K65" s="124"/>
      <c r="L65" s="127" t="s">
        <v>1018</v>
      </c>
      <c r="M65" s="128" t="s">
        <v>1020</v>
      </c>
      <c r="N65" s="130">
        <v>1944588</v>
      </c>
      <c r="O65" s="130">
        <v>343162</v>
      </c>
      <c r="P65" s="131"/>
      <c r="Q65" s="131"/>
      <c r="R65" s="131"/>
      <c r="S65" s="131"/>
      <c r="T65" s="124" t="s">
        <v>1018</v>
      </c>
      <c r="U65" s="132">
        <v>42634</v>
      </c>
      <c r="V65" s="131"/>
      <c r="W65" s="131"/>
      <c r="X65" s="131"/>
      <c r="Y65" s="124" t="s">
        <v>919</v>
      </c>
      <c r="Z65" s="124">
        <v>89215895753</v>
      </c>
    </row>
    <row r="66" spans="1:26" ht="84" x14ac:dyDescent="0.25">
      <c r="A66" s="124">
        <v>65</v>
      </c>
      <c r="B66" s="124">
        <v>1</v>
      </c>
      <c r="C66" s="125">
        <v>43881</v>
      </c>
      <c r="D66" s="126">
        <v>65</v>
      </c>
      <c r="E66" s="126">
        <v>65</v>
      </c>
      <c r="F66" s="127" t="s">
        <v>1021</v>
      </c>
      <c r="G66" s="127" t="s">
        <v>1022</v>
      </c>
      <c r="H66" s="127" t="s">
        <v>1024</v>
      </c>
      <c r="I66" s="127" t="s">
        <v>1024</v>
      </c>
      <c r="J66" s="124"/>
      <c r="K66" s="124"/>
      <c r="L66" s="127" t="s">
        <v>1023</v>
      </c>
      <c r="M66" s="128" t="s">
        <v>1025</v>
      </c>
      <c r="N66" s="130">
        <v>1530000</v>
      </c>
      <c r="O66" s="130" t="s">
        <v>1026</v>
      </c>
      <c r="P66" s="131"/>
      <c r="Q66" s="131"/>
      <c r="R66" s="131"/>
      <c r="S66" s="131"/>
      <c r="T66" s="124" t="s">
        <v>1023</v>
      </c>
      <c r="U66" s="132">
        <v>42552</v>
      </c>
      <c r="V66" s="131"/>
      <c r="W66" s="131"/>
      <c r="X66" s="131"/>
      <c r="Y66" s="124" t="s">
        <v>1027</v>
      </c>
      <c r="Z66" s="124">
        <v>89219714724</v>
      </c>
    </row>
    <row r="67" spans="1:26" ht="108" x14ac:dyDescent="0.25">
      <c r="A67" s="124">
        <v>66</v>
      </c>
      <c r="B67" s="124">
        <v>1</v>
      </c>
      <c r="C67" s="125">
        <v>43819</v>
      </c>
      <c r="D67" s="133">
        <v>66</v>
      </c>
      <c r="E67" s="133">
        <v>66</v>
      </c>
      <c r="F67" s="127" t="s">
        <v>1028</v>
      </c>
      <c r="G67" s="127" t="s">
        <v>1034</v>
      </c>
      <c r="H67" s="127" t="s">
        <v>1030</v>
      </c>
      <c r="I67" s="127" t="s">
        <v>1030</v>
      </c>
      <c r="J67" s="124"/>
      <c r="K67" s="124"/>
      <c r="L67" s="127" t="s">
        <v>1031</v>
      </c>
      <c r="M67" s="128" t="s">
        <v>1033</v>
      </c>
      <c r="N67" s="130">
        <v>926350</v>
      </c>
      <c r="O67" s="130"/>
      <c r="P67" s="131"/>
      <c r="Q67" s="131"/>
      <c r="R67" s="131"/>
      <c r="S67" s="131"/>
      <c r="T67" s="124" t="s">
        <v>1031</v>
      </c>
      <c r="U67" s="137">
        <v>42628</v>
      </c>
      <c r="V67" s="131"/>
      <c r="W67" s="131"/>
      <c r="X67" s="131"/>
      <c r="Y67" s="124" t="s">
        <v>766</v>
      </c>
      <c r="Z67" s="124">
        <v>89516806114</v>
      </c>
    </row>
    <row r="68" spans="1:26" ht="108" x14ac:dyDescent="0.25">
      <c r="A68" s="124">
        <v>67</v>
      </c>
      <c r="B68" s="124">
        <v>1</v>
      </c>
      <c r="C68" s="125">
        <v>43819</v>
      </c>
      <c r="D68" s="126">
        <v>67</v>
      </c>
      <c r="E68" s="126">
        <v>67</v>
      </c>
      <c r="F68" s="127" t="s">
        <v>1032</v>
      </c>
      <c r="G68" s="127" t="s">
        <v>1029</v>
      </c>
      <c r="H68" s="127" t="s">
        <v>1030</v>
      </c>
      <c r="I68" s="127" t="s">
        <v>1030</v>
      </c>
      <c r="J68" s="124"/>
      <c r="K68" s="124"/>
      <c r="L68" s="127" t="s">
        <v>1031</v>
      </c>
      <c r="M68" s="128" t="s">
        <v>1033</v>
      </c>
      <c r="N68" s="130">
        <v>926350</v>
      </c>
      <c r="O68" s="130"/>
      <c r="P68" s="131"/>
      <c r="Q68" s="131"/>
      <c r="R68" s="131"/>
      <c r="S68" s="131"/>
      <c r="T68" s="124" t="s">
        <v>1031</v>
      </c>
      <c r="U68" s="137">
        <v>42628</v>
      </c>
      <c r="V68" s="131"/>
      <c r="W68" s="131"/>
      <c r="X68" s="131"/>
      <c r="Y68" s="124" t="s">
        <v>766</v>
      </c>
      <c r="Z68" s="124">
        <v>89510121444</v>
      </c>
    </row>
    <row r="69" spans="1:26" ht="84" x14ac:dyDescent="0.25">
      <c r="A69" s="124">
        <v>68</v>
      </c>
      <c r="B69" s="124">
        <v>1</v>
      </c>
      <c r="C69" s="125">
        <v>43839</v>
      </c>
      <c r="D69" s="133">
        <v>68</v>
      </c>
      <c r="E69" s="133">
        <v>68</v>
      </c>
      <c r="F69" s="127" t="s">
        <v>1035</v>
      </c>
      <c r="G69" s="127" t="s">
        <v>1036</v>
      </c>
      <c r="H69" s="127" t="s">
        <v>1037</v>
      </c>
      <c r="I69" s="127" t="s">
        <v>1037</v>
      </c>
      <c r="J69" s="124"/>
      <c r="K69" s="124"/>
      <c r="L69" s="127" t="s">
        <v>1038</v>
      </c>
      <c r="M69" s="127" t="s">
        <v>1039</v>
      </c>
      <c r="N69" s="130">
        <v>1827738</v>
      </c>
      <c r="O69" s="130"/>
      <c r="P69" s="131"/>
      <c r="Q69" s="131"/>
      <c r="R69" s="131"/>
      <c r="S69" s="131"/>
      <c r="T69" s="124" t="s">
        <v>1038</v>
      </c>
      <c r="U69" s="132">
        <v>42474</v>
      </c>
      <c r="V69" s="131"/>
      <c r="W69" s="131"/>
      <c r="X69" s="131"/>
      <c r="Y69" s="124" t="s">
        <v>766</v>
      </c>
      <c r="Z69" s="124">
        <v>89217547550</v>
      </c>
    </row>
    <row r="70" spans="1:26" ht="84" x14ac:dyDescent="0.25">
      <c r="A70" s="124">
        <v>69</v>
      </c>
      <c r="B70" s="124">
        <v>1</v>
      </c>
      <c r="C70" s="125">
        <v>43799</v>
      </c>
      <c r="D70" s="126">
        <v>69</v>
      </c>
      <c r="E70" s="126">
        <v>69</v>
      </c>
      <c r="F70" s="127" t="s">
        <v>1040</v>
      </c>
      <c r="G70" s="127" t="s">
        <v>1172</v>
      </c>
      <c r="H70" s="127" t="s">
        <v>1041</v>
      </c>
      <c r="I70" s="127" t="s">
        <v>1041</v>
      </c>
      <c r="J70" s="124"/>
      <c r="K70" s="124"/>
      <c r="L70" s="127" t="s">
        <v>1042</v>
      </c>
      <c r="M70" s="128" t="s">
        <v>1043</v>
      </c>
      <c r="N70" s="130">
        <v>2295880</v>
      </c>
      <c r="O70" s="130">
        <v>573670</v>
      </c>
      <c r="P70" s="131"/>
      <c r="Q70" s="131"/>
      <c r="R70" s="131"/>
      <c r="S70" s="131"/>
      <c r="T70" s="124" t="s">
        <v>1042</v>
      </c>
      <c r="U70" s="132">
        <v>42794</v>
      </c>
      <c r="V70" s="131"/>
      <c r="W70" s="131"/>
      <c r="X70" s="131"/>
      <c r="Y70" s="124" t="s">
        <v>1044</v>
      </c>
      <c r="Z70" s="124">
        <v>89990293510</v>
      </c>
    </row>
    <row r="71" spans="1:26" ht="84" x14ac:dyDescent="0.25">
      <c r="A71" s="124">
        <v>70</v>
      </c>
      <c r="B71" s="124">
        <v>1</v>
      </c>
      <c r="C71" s="125">
        <v>43819</v>
      </c>
      <c r="D71" s="133">
        <v>70</v>
      </c>
      <c r="E71" s="133">
        <v>70</v>
      </c>
      <c r="F71" s="127" t="s">
        <v>1045</v>
      </c>
      <c r="G71" s="127" t="s">
        <v>1050</v>
      </c>
      <c r="H71" s="127" t="s">
        <v>1051</v>
      </c>
      <c r="I71" s="127" t="s">
        <v>1051</v>
      </c>
      <c r="J71" s="124"/>
      <c r="K71" s="124"/>
      <c r="L71" s="127" t="s">
        <v>1052</v>
      </c>
      <c r="M71" s="128" t="s">
        <v>1053</v>
      </c>
      <c r="N71" s="130">
        <v>955157</v>
      </c>
      <c r="O71" s="130"/>
      <c r="P71" s="131"/>
      <c r="Q71" s="131"/>
      <c r="R71" s="131"/>
      <c r="S71" s="131"/>
      <c r="T71" s="124" t="s">
        <v>1052</v>
      </c>
      <c r="U71" s="132">
        <v>42888</v>
      </c>
      <c r="V71" s="131"/>
      <c r="W71" s="131"/>
      <c r="X71" s="131"/>
      <c r="Y71" s="124" t="s">
        <v>766</v>
      </c>
      <c r="Z71" s="124">
        <v>89214351083</v>
      </c>
    </row>
    <row r="72" spans="1:26" ht="96" x14ac:dyDescent="0.25">
      <c r="A72" s="124">
        <v>71</v>
      </c>
      <c r="B72" s="124">
        <v>1</v>
      </c>
      <c r="C72" s="125">
        <v>43819</v>
      </c>
      <c r="D72" s="126">
        <v>71</v>
      </c>
      <c r="E72" s="126">
        <v>71</v>
      </c>
      <c r="F72" s="127" t="s">
        <v>1046</v>
      </c>
      <c r="G72" s="127" t="s">
        <v>1049</v>
      </c>
      <c r="H72" s="127" t="s">
        <v>1051</v>
      </c>
      <c r="I72" s="127" t="s">
        <v>1051</v>
      </c>
      <c r="J72" s="124"/>
      <c r="K72" s="124"/>
      <c r="L72" s="127" t="s">
        <v>1052</v>
      </c>
      <c r="M72" s="128" t="s">
        <v>1053</v>
      </c>
      <c r="N72" s="130">
        <v>955157</v>
      </c>
      <c r="O72" s="130"/>
      <c r="P72" s="131"/>
      <c r="Q72" s="131"/>
      <c r="R72" s="131"/>
      <c r="S72" s="131"/>
      <c r="T72" s="124" t="s">
        <v>1052</v>
      </c>
      <c r="U72" s="132">
        <v>42888</v>
      </c>
      <c r="V72" s="131"/>
      <c r="W72" s="131"/>
      <c r="X72" s="131"/>
      <c r="Y72" s="124" t="s">
        <v>766</v>
      </c>
      <c r="Z72" s="124">
        <v>89215542369</v>
      </c>
    </row>
    <row r="73" spans="1:26" ht="108" x14ac:dyDescent="0.25">
      <c r="A73" s="124">
        <v>72</v>
      </c>
      <c r="B73" s="124">
        <v>1</v>
      </c>
      <c r="C73" s="125">
        <v>43819</v>
      </c>
      <c r="D73" s="133">
        <v>72</v>
      </c>
      <c r="E73" s="133">
        <v>72</v>
      </c>
      <c r="F73" s="127" t="s">
        <v>1047</v>
      </c>
      <c r="G73" s="127" t="s">
        <v>1048</v>
      </c>
      <c r="H73" s="127" t="s">
        <v>1051</v>
      </c>
      <c r="I73" s="127" t="s">
        <v>1051</v>
      </c>
      <c r="J73" s="124"/>
      <c r="K73" s="124"/>
      <c r="L73" s="127" t="s">
        <v>1052</v>
      </c>
      <c r="M73" s="128" t="s">
        <v>1053</v>
      </c>
      <c r="N73" s="130">
        <v>955157</v>
      </c>
      <c r="O73" s="130"/>
      <c r="P73" s="131"/>
      <c r="Q73" s="131"/>
      <c r="R73" s="131"/>
      <c r="S73" s="131"/>
      <c r="T73" s="124" t="s">
        <v>1052</v>
      </c>
      <c r="U73" s="132">
        <v>42888</v>
      </c>
      <c r="V73" s="131"/>
      <c r="W73" s="131"/>
      <c r="X73" s="131"/>
      <c r="Y73" s="124" t="s">
        <v>766</v>
      </c>
      <c r="Z73" s="124">
        <v>89215542369</v>
      </c>
    </row>
    <row r="74" spans="1:26" ht="96" x14ac:dyDescent="0.25">
      <c r="A74" s="124">
        <v>73</v>
      </c>
      <c r="B74" s="124">
        <v>1</v>
      </c>
      <c r="C74" s="125">
        <v>43819</v>
      </c>
      <c r="D74" s="126">
        <v>73</v>
      </c>
      <c r="E74" s="126">
        <v>73</v>
      </c>
      <c r="F74" s="127" t="s">
        <v>1055</v>
      </c>
      <c r="G74" s="127" t="s">
        <v>1059</v>
      </c>
      <c r="H74" s="127" t="s">
        <v>1061</v>
      </c>
      <c r="I74" s="127" t="s">
        <v>1061</v>
      </c>
      <c r="J74" s="124"/>
      <c r="K74" s="124"/>
      <c r="L74" s="127" t="s">
        <v>1054</v>
      </c>
      <c r="M74" s="128" t="s">
        <v>1065</v>
      </c>
      <c r="N74" s="130">
        <v>869250</v>
      </c>
      <c r="O74" s="130"/>
      <c r="P74" s="131"/>
      <c r="Q74" s="131"/>
      <c r="R74" s="131"/>
      <c r="S74" s="131"/>
      <c r="T74" s="124" t="s">
        <v>1054</v>
      </c>
      <c r="U74" s="132">
        <v>42642</v>
      </c>
      <c r="V74" s="131"/>
      <c r="W74" s="131"/>
      <c r="X74" s="131"/>
      <c r="Y74" s="124" t="s">
        <v>766</v>
      </c>
      <c r="Z74" s="128">
        <v>89110101830</v>
      </c>
    </row>
    <row r="75" spans="1:26" ht="84" x14ac:dyDescent="0.25">
      <c r="A75" s="124">
        <v>74</v>
      </c>
      <c r="B75" s="124">
        <v>1</v>
      </c>
      <c r="C75" s="125">
        <v>43819</v>
      </c>
      <c r="D75" s="133">
        <v>74</v>
      </c>
      <c r="E75" s="133">
        <v>74</v>
      </c>
      <c r="F75" s="127" t="s">
        <v>1056</v>
      </c>
      <c r="G75" s="127" t="s">
        <v>1060</v>
      </c>
      <c r="H75" s="127" t="s">
        <v>1062</v>
      </c>
      <c r="I75" s="127" t="s">
        <v>1062</v>
      </c>
      <c r="J75" s="124"/>
      <c r="K75" s="124"/>
      <c r="L75" s="127" t="s">
        <v>1054</v>
      </c>
      <c r="M75" s="128" t="s">
        <v>1065</v>
      </c>
      <c r="N75" s="130">
        <v>869250</v>
      </c>
      <c r="O75" s="130"/>
      <c r="P75" s="131"/>
      <c r="Q75" s="131"/>
      <c r="R75" s="131"/>
      <c r="S75" s="131"/>
      <c r="T75" s="124" t="s">
        <v>1054</v>
      </c>
      <c r="U75" s="132">
        <v>42643</v>
      </c>
      <c r="V75" s="131"/>
      <c r="W75" s="131"/>
      <c r="X75" s="131"/>
      <c r="Y75" s="124" t="s">
        <v>766</v>
      </c>
      <c r="Z75" s="128">
        <v>89110101830</v>
      </c>
    </row>
    <row r="76" spans="1:26" ht="48" x14ac:dyDescent="0.25">
      <c r="A76" s="124">
        <v>75</v>
      </c>
      <c r="B76" s="124">
        <v>1</v>
      </c>
      <c r="C76" s="125">
        <v>43819</v>
      </c>
      <c r="D76" s="126">
        <v>75</v>
      </c>
      <c r="E76" s="126">
        <v>75</v>
      </c>
      <c r="F76" s="127" t="s">
        <v>1057</v>
      </c>
      <c r="G76" s="127" t="s">
        <v>1066</v>
      </c>
      <c r="H76" s="127" t="s">
        <v>1063</v>
      </c>
      <c r="I76" s="127" t="s">
        <v>1063</v>
      </c>
      <c r="J76" s="124"/>
      <c r="K76" s="124"/>
      <c r="L76" s="127" t="s">
        <v>1054</v>
      </c>
      <c r="M76" s="128" t="s">
        <v>1065</v>
      </c>
      <c r="N76" s="130">
        <v>869250</v>
      </c>
      <c r="O76" s="130"/>
      <c r="P76" s="131"/>
      <c r="Q76" s="131"/>
      <c r="R76" s="131"/>
      <c r="S76" s="131"/>
      <c r="T76" s="124" t="s">
        <v>1054</v>
      </c>
      <c r="U76" s="132">
        <v>42644</v>
      </c>
      <c r="V76" s="131"/>
      <c r="W76" s="131"/>
      <c r="X76" s="131"/>
      <c r="Y76" s="124" t="s">
        <v>766</v>
      </c>
      <c r="Z76" s="128">
        <v>89110101830</v>
      </c>
    </row>
    <row r="77" spans="1:26" ht="96" x14ac:dyDescent="0.25">
      <c r="A77" s="124">
        <v>76</v>
      </c>
      <c r="B77" s="124">
        <v>1</v>
      </c>
      <c r="C77" s="125">
        <v>43819</v>
      </c>
      <c r="D77" s="133">
        <v>76</v>
      </c>
      <c r="E77" s="133">
        <v>76</v>
      </c>
      <c r="F77" s="127" t="s">
        <v>1058</v>
      </c>
      <c r="G77" s="127" t="s">
        <v>1067</v>
      </c>
      <c r="H77" s="127" t="s">
        <v>1064</v>
      </c>
      <c r="I77" s="127" t="s">
        <v>1064</v>
      </c>
      <c r="J77" s="124"/>
      <c r="K77" s="124"/>
      <c r="L77" s="127" t="s">
        <v>1054</v>
      </c>
      <c r="M77" s="128" t="s">
        <v>1065</v>
      </c>
      <c r="N77" s="130">
        <v>869250</v>
      </c>
      <c r="O77" s="130"/>
      <c r="P77" s="131"/>
      <c r="Q77" s="131"/>
      <c r="R77" s="131"/>
      <c r="S77" s="131"/>
      <c r="T77" s="124" t="s">
        <v>1054</v>
      </c>
      <c r="U77" s="132">
        <v>42645</v>
      </c>
      <c r="V77" s="131"/>
      <c r="W77" s="131"/>
      <c r="X77" s="131"/>
      <c r="Y77" s="124" t="s">
        <v>766</v>
      </c>
      <c r="Z77" s="128">
        <v>89110101830</v>
      </c>
    </row>
    <row r="78" spans="1:26" ht="72" x14ac:dyDescent="0.25">
      <c r="A78" s="124">
        <v>77</v>
      </c>
      <c r="B78" s="124">
        <v>1</v>
      </c>
      <c r="C78" s="125">
        <v>43819</v>
      </c>
      <c r="D78" s="126">
        <v>77</v>
      </c>
      <c r="E78" s="126">
        <v>77</v>
      </c>
      <c r="F78" s="127" t="s">
        <v>1068</v>
      </c>
      <c r="G78" s="127" t="s">
        <v>1069</v>
      </c>
      <c r="H78" s="127" t="s">
        <v>1072</v>
      </c>
      <c r="I78" s="127" t="s">
        <v>1072</v>
      </c>
      <c r="J78" s="124"/>
      <c r="K78" s="124"/>
      <c r="L78" s="127" t="s">
        <v>1073</v>
      </c>
      <c r="M78" s="128" t="s">
        <v>1076</v>
      </c>
      <c r="N78" s="130">
        <v>1191450</v>
      </c>
      <c r="O78" s="130"/>
      <c r="P78" s="131"/>
      <c r="Q78" s="131"/>
      <c r="R78" s="131"/>
      <c r="S78" s="131"/>
      <c r="T78" s="124" t="s">
        <v>1073</v>
      </c>
      <c r="U78" s="132">
        <v>42922</v>
      </c>
      <c r="V78" s="131"/>
      <c r="W78" s="131"/>
      <c r="X78" s="131"/>
      <c r="Y78" s="124" t="s">
        <v>766</v>
      </c>
      <c r="Z78" s="128" t="s">
        <v>1074</v>
      </c>
    </row>
    <row r="79" spans="1:26" ht="72" x14ac:dyDescent="0.25">
      <c r="A79" s="124">
        <v>78</v>
      </c>
      <c r="B79" s="124">
        <v>1</v>
      </c>
      <c r="C79" s="125">
        <v>43819</v>
      </c>
      <c r="D79" s="133">
        <v>78</v>
      </c>
      <c r="E79" s="133">
        <v>78</v>
      </c>
      <c r="F79" s="127" t="s">
        <v>1071</v>
      </c>
      <c r="G79" s="127" t="s">
        <v>1070</v>
      </c>
      <c r="H79" s="127" t="s">
        <v>1072</v>
      </c>
      <c r="I79" s="127" t="s">
        <v>1072</v>
      </c>
      <c r="J79" s="124"/>
      <c r="K79" s="124"/>
      <c r="L79" s="127" t="s">
        <v>1073</v>
      </c>
      <c r="M79" s="128" t="s">
        <v>1076</v>
      </c>
      <c r="N79" s="130">
        <v>1191450</v>
      </c>
      <c r="O79" s="130"/>
      <c r="P79" s="131"/>
      <c r="Q79" s="131"/>
      <c r="R79" s="131"/>
      <c r="S79" s="131"/>
      <c r="T79" s="124" t="s">
        <v>1073</v>
      </c>
      <c r="U79" s="132">
        <v>42922</v>
      </c>
      <c r="V79" s="131"/>
      <c r="W79" s="131"/>
      <c r="X79" s="131"/>
      <c r="Y79" s="124" t="s">
        <v>1077</v>
      </c>
      <c r="Z79" s="127" t="s">
        <v>1075</v>
      </c>
    </row>
    <row r="80" spans="1:26" ht="72" x14ac:dyDescent="0.25">
      <c r="A80" s="124">
        <v>79</v>
      </c>
      <c r="B80" s="124">
        <v>1</v>
      </c>
      <c r="C80" s="125">
        <v>43819</v>
      </c>
      <c r="D80" s="126">
        <v>79</v>
      </c>
      <c r="E80" s="126">
        <v>79</v>
      </c>
      <c r="F80" s="127" t="s">
        <v>1078</v>
      </c>
      <c r="G80" s="127" t="s">
        <v>1083</v>
      </c>
      <c r="H80" s="127" t="s">
        <v>1084</v>
      </c>
      <c r="I80" s="127" t="s">
        <v>1084</v>
      </c>
      <c r="J80" s="124"/>
      <c r="K80" s="124"/>
      <c r="L80" s="127" t="s">
        <v>1085</v>
      </c>
      <c r="M80" s="128" t="s">
        <v>1080</v>
      </c>
      <c r="N80" s="130">
        <v>1034610</v>
      </c>
      <c r="O80" s="130">
        <v>182577.5</v>
      </c>
      <c r="P80" s="131"/>
      <c r="Q80" s="131"/>
      <c r="R80" s="131"/>
      <c r="S80" s="131"/>
      <c r="T80" s="124" t="s">
        <v>1085</v>
      </c>
      <c r="U80" s="132">
        <v>42635</v>
      </c>
      <c r="V80" s="131"/>
      <c r="W80" s="131"/>
      <c r="X80" s="131"/>
      <c r="Y80" s="131" t="s">
        <v>1086</v>
      </c>
      <c r="Z80" s="128" t="s">
        <v>1079</v>
      </c>
    </row>
    <row r="81" spans="1:26" ht="72" x14ac:dyDescent="0.25">
      <c r="A81" s="124">
        <v>80</v>
      </c>
      <c r="B81" s="124">
        <v>1</v>
      </c>
      <c r="C81" s="125">
        <v>43819</v>
      </c>
      <c r="D81" s="133">
        <v>80</v>
      </c>
      <c r="E81" s="133">
        <v>80</v>
      </c>
      <c r="F81" s="127" t="s">
        <v>1081</v>
      </c>
      <c r="G81" s="127" t="s">
        <v>1082</v>
      </c>
      <c r="H81" s="127" t="s">
        <v>1084</v>
      </c>
      <c r="I81" s="127" t="s">
        <v>1084</v>
      </c>
      <c r="J81" s="124"/>
      <c r="K81" s="124"/>
      <c r="L81" s="127" t="s">
        <v>1085</v>
      </c>
      <c r="M81" s="128" t="s">
        <v>1080</v>
      </c>
      <c r="N81" s="130">
        <v>1034610</v>
      </c>
      <c r="O81" s="130">
        <v>182577.5</v>
      </c>
      <c r="P81" s="131"/>
      <c r="Q81" s="131"/>
      <c r="R81" s="131"/>
      <c r="S81" s="131"/>
      <c r="T81" s="124" t="s">
        <v>1085</v>
      </c>
      <c r="U81" s="132">
        <v>42635</v>
      </c>
      <c r="V81" s="131"/>
      <c r="W81" s="131"/>
      <c r="X81" s="131"/>
      <c r="Y81" s="131" t="s">
        <v>1086</v>
      </c>
      <c r="Z81" s="128" t="s">
        <v>1079</v>
      </c>
    </row>
    <row r="82" spans="1:26" ht="84" x14ac:dyDescent="0.25">
      <c r="A82" s="124">
        <v>81</v>
      </c>
      <c r="B82" s="124">
        <v>1</v>
      </c>
      <c r="C82" s="125">
        <v>43839</v>
      </c>
      <c r="D82" s="126">
        <v>81</v>
      </c>
      <c r="E82" s="126">
        <v>81</v>
      </c>
      <c r="F82" s="127" t="s">
        <v>1087</v>
      </c>
      <c r="G82" s="127" t="s">
        <v>1093</v>
      </c>
      <c r="H82" s="127" t="s">
        <v>1090</v>
      </c>
      <c r="I82" s="127" t="s">
        <v>1090</v>
      </c>
      <c r="J82" s="124"/>
      <c r="K82" s="124"/>
      <c r="L82" s="127" t="s">
        <v>1088</v>
      </c>
      <c r="M82" s="128" t="s">
        <v>1091</v>
      </c>
      <c r="N82" s="130">
        <v>922538.5</v>
      </c>
      <c r="O82" s="130">
        <v>162801</v>
      </c>
      <c r="P82" s="131"/>
      <c r="Q82" s="131"/>
      <c r="R82" s="131"/>
      <c r="S82" s="131"/>
      <c r="T82" s="124" t="s">
        <v>1088</v>
      </c>
      <c r="U82" s="132">
        <v>42536</v>
      </c>
      <c r="V82" s="131"/>
      <c r="W82" s="131"/>
      <c r="X82" s="131"/>
      <c r="Y82" s="131" t="s">
        <v>1086</v>
      </c>
      <c r="Z82" s="128" t="s">
        <v>1096</v>
      </c>
    </row>
    <row r="83" spans="1:26" ht="84" x14ac:dyDescent="0.25">
      <c r="A83" s="124">
        <v>82</v>
      </c>
      <c r="B83" s="124">
        <v>1</v>
      </c>
      <c r="C83" s="125">
        <v>43839</v>
      </c>
      <c r="D83" s="133">
        <v>82</v>
      </c>
      <c r="E83" s="133">
        <v>82</v>
      </c>
      <c r="F83" s="127" t="s">
        <v>1089</v>
      </c>
      <c r="G83" s="127" t="s">
        <v>1092</v>
      </c>
      <c r="H83" s="127" t="s">
        <v>1090</v>
      </c>
      <c r="I83" s="127" t="s">
        <v>1090</v>
      </c>
      <c r="J83" s="124"/>
      <c r="K83" s="124"/>
      <c r="L83" s="127" t="s">
        <v>1088</v>
      </c>
      <c r="M83" s="128" t="s">
        <v>1091</v>
      </c>
      <c r="N83" s="130">
        <v>922538.5</v>
      </c>
      <c r="O83" s="130">
        <v>162801</v>
      </c>
      <c r="P83" s="131"/>
      <c r="Q83" s="131"/>
      <c r="R83" s="131"/>
      <c r="S83" s="131"/>
      <c r="T83" s="124" t="s">
        <v>1088</v>
      </c>
      <c r="U83" s="132">
        <v>42536</v>
      </c>
      <c r="V83" s="131"/>
      <c r="W83" s="131"/>
      <c r="X83" s="131"/>
      <c r="Y83" s="131" t="s">
        <v>1086</v>
      </c>
      <c r="Z83" s="128" t="s">
        <v>1097</v>
      </c>
    </row>
    <row r="84" spans="1:26" ht="96" x14ac:dyDescent="0.25">
      <c r="A84" s="124">
        <v>83</v>
      </c>
      <c r="B84" s="124">
        <v>1</v>
      </c>
      <c r="C84" s="125">
        <v>43819</v>
      </c>
      <c r="D84" s="126">
        <v>83</v>
      </c>
      <c r="E84" s="126">
        <v>83</v>
      </c>
      <c r="F84" s="127" t="s">
        <v>1094</v>
      </c>
      <c r="G84" s="127" t="s">
        <v>1100</v>
      </c>
      <c r="H84" s="127" t="s">
        <v>1099</v>
      </c>
      <c r="I84" s="127" t="s">
        <v>1099</v>
      </c>
      <c r="J84" s="124"/>
      <c r="K84" s="124"/>
      <c r="L84" s="127" t="s">
        <v>1095</v>
      </c>
      <c r="M84" s="128" t="s">
        <v>1098</v>
      </c>
      <c r="N84" s="130">
        <v>1925729</v>
      </c>
      <c r="O84" s="130">
        <v>339834</v>
      </c>
      <c r="P84" s="131"/>
      <c r="Q84" s="131"/>
      <c r="R84" s="131"/>
      <c r="S84" s="131"/>
      <c r="T84" s="124" t="s">
        <v>1095</v>
      </c>
      <c r="U84" s="132">
        <v>42543</v>
      </c>
      <c r="V84" s="131"/>
      <c r="W84" s="131"/>
      <c r="X84" s="131"/>
      <c r="Y84" s="124" t="s">
        <v>1101</v>
      </c>
      <c r="Z84" s="127"/>
    </row>
    <row r="85" spans="1:26" ht="72" x14ac:dyDescent="0.25">
      <c r="A85" s="124">
        <v>84</v>
      </c>
      <c r="B85" s="124">
        <v>1</v>
      </c>
      <c r="C85" s="125">
        <v>43814</v>
      </c>
      <c r="D85" s="133">
        <v>84</v>
      </c>
      <c r="E85" s="133">
        <v>84</v>
      </c>
      <c r="F85" s="127" t="s">
        <v>1102</v>
      </c>
      <c r="G85" s="127" t="s">
        <v>1109</v>
      </c>
      <c r="H85" s="127" t="s">
        <v>1106</v>
      </c>
      <c r="I85" s="127" t="s">
        <v>1106</v>
      </c>
      <c r="J85" s="124"/>
      <c r="K85" s="124"/>
      <c r="L85" s="127" t="s">
        <v>1105</v>
      </c>
      <c r="M85" s="128" t="s">
        <v>1110</v>
      </c>
      <c r="N85" s="130">
        <v>1295266.5</v>
      </c>
      <c r="O85" s="130"/>
      <c r="P85" s="131"/>
      <c r="Q85" s="131"/>
      <c r="R85" s="131"/>
      <c r="S85" s="131"/>
      <c r="T85" s="124" t="s">
        <v>1105</v>
      </c>
      <c r="U85" s="132">
        <v>42457</v>
      </c>
      <c r="V85" s="131"/>
      <c r="W85" s="131"/>
      <c r="X85" s="131"/>
      <c r="Y85" s="124" t="s">
        <v>1111</v>
      </c>
      <c r="Z85" s="127" t="s">
        <v>1107</v>
      </c>
    </row>
    <row r="86" spans="1:26" ht="84" x14ac:dyDescent="0.25">
      <c r="A86" s="124">
        <v>85</v>
      </c>
      <c r="B86" s="124">
        <v>1</v>
      </c>
      <c r="C86" s="125">
        <v>43814</v>
      </c>
      <c r="D86" s="126">
        <v>85</v>
      </c>
      <c r="E86" s="126">
        <v>85</v>
      </c>
      <c r="F86" s="127" t="s">
        <v>1103</v>
      </c>
      <c r="G86" s="127" t="s">
        <v>1104</v>
      </c>
      <c r="H86" s="127" t="s">
        <v>1106</v>
      </c>
      <c r="I86" s="127" t="s">
        <v>1106</v>
      </c>
      <c r="J86" s="124"/>
      <c r="K86" s="124"/>
      <c r="L86" s="127" t="s">
        <v>1105</v>
      </c>
      <c r="M86" s="128" t="s">
        <v>1110</v>
      </c>
      <c r="N86" s="130">
        <v>1295266.5</v>
      </c>
      <c r="O86" s="130"/>
      <c r="P86" s="131"/>
      <c r="Q86" s="131"/>
      <c r="R86" s="131"/>
      <c r="S86" s="131"/>
      <c r="T86" s="124" t="s">
        <v>1105</v>
      </c>
      <c r="U86" s="132">
        <v>1</v>
      </c>
      <c r="V86" s="131"/>
      <c r="W86" s="131"/>
      <c r="X86" s="131"/>
      <c r="Y86" s="124" t="s">
        <v>1111</v>
      </c>
      <c r="Z86" s="128" t="s">
        <v>1108</v>
      </c>
    </row>
    <row r="87" spans="1:26" ht="108" x14ac:dyDescent="0.25">
      <c r="A87" s="124">
        <v>86</v>
      </c>
      <c r="B87" s="124">
        <v>1</v>
      </c>
      <c r="C87" s="125">
        <v>43780</v>
      </c>
      <c r="D87" s="133">
        <v>86</v>
      </c>
      <c r="E87" s="133">
        <v>86</v>
      </c>
      <c r="F87" s="127" t="s">
        <v>1112</v>
      </c>
      <c r="G87" s="127" t="s">
        <v>1116</v>
      </c>
      <c r="H87" s="127" t="s">
        <v>1114</v>
      </c>
      <c r="I87" s="127" t="s">
        <v>1114</v>
      </c>
      <c r="J87" s="124"/>
      <c r="K87" s="124"/>
      <c r="L87" s="127" t="s">
        <v>1113</v>
      </c>
      <c r="M87" s="128" t="s">
        <v>1117</v>
      </c>
      <c r="N87" s="130">
        <v>2443113</v>
      </c>
      <c r="O87" s="130">
        <v>431137</v>
      </c>
      <c r="P87" s="131"/>
      <c r="Q87" s="131"/>
      <c r="R87" s="131"/>
      <c r="S87" s="131"/>
      <c r="T87" s="124" t="s">
        <v>1113</v>
      </c>
      <c r="U87" s="137">
        <v>42641</v>
      </c>
      <c r="V87" s="131"/>
      <c r="W87" s="131"/>
      <c r="X87" s="131"/>
      <c r="Y87" s="124" t="s">
        <v>956</v>
      </c>
      <c r="Z87" s="127" t="s">
        <v>1115</v>
      </c>
    </row>
    <row r="88" spans="1:26" ht="96" x14ac:dyDescent="0.25">
      <c r="A88" s="124">
        <v>87</v>
      </c>
      <c r="B88" s="124">
        <v>1</v>
      </c>
      <c r="C88" s="125">
        <v>43799</v>
      </c>
      <c r="D88" s="126">
        <v>87</v>
      </c>
      <c r="E88" s="126">
        <v>87</v>
      </c>
      <c r="F88" s="127" t="s">
        <v>1118</v>
      </c>
      <c r="G88" s="127" t="s">
        <v>1119</v>
      </c>
      <c r="H88" s="127" t="s">
        <v>1122</v>
      </c>
      <c r="I88" s="127" t="s">
        <v>1122</v>
      </c>
      <c r="J88" s="124"/>
      <c r="K88" s="124"/>
      <c r="L88" s="127" t="s">
        <v>1120</v>
      </c>
      <c r="M88" s="128" t="s">
        <v>1123</v>
      </c>
      <c r="N88" s="130" t="s">
        <v>1124</v>
      </c>
      <c r="O88" s="130"/>
      <c r="P88" s="131"/>
      <c r="Q88" s="131"/>
      <c r="R88" s="131"/>
      <c r="S88" s="131"/>
      <c r="T88" s="124" t="s">
        <v>1120</v>
      </c>
      <c r="U88" s="132">
        <v>42893</v>
      </c>
      <c r="V88" s="131"/>
      <c r="W88" s="131"/>
      <c r="X88" s="131"/>
      <c r="Y88" s="124" t="s">
        <v>766</v>
      </c>
      <c r="Z88" s="127" t="s">
        <v>1121</v>
      </c>
    </row>
    <row r="89" spans="1:26" ht="84" x14ac:dyDescent="0.25">
      <c r="A89" s="124">
        <v>88</v>
      </c>
      <c r="B89" s="124">
        <v>1</v>
      </c>
      <c r="C89" s="125">
        <v>43799</v>
      </c>
      <c r="D89" s="133">
        <v>88</v>
      </c>
      <c r="E89" s="133">
        <v>88</v>
      </c>
      <c r="F89" s="127" t="s">
        <v>1125</v>
      </c>
      <c r="G89" s="127" t="s">
        <v>1126</v>
      </c>
      <c r="H89" s="127" t="s">
        <v>1127</v>
      </c>
      <c r="I89" s="127" t="s">
        <v>1127</v>
      </c>
      <c r="J89" s="124"/>
      <c r="K89" s="124"/>
      <c r="L89" s="127" t="s">
        <v>1128</v>
      </c>
      <c r="M89" s="128" t="s">
        <v>1137</v>
      </c>
      <c r="N89" s="130">
        <v>0</v>
      </c>
      <c r="O89" s="130">
        <v>2116000</v>
      </c>
      <c r="P89" s="131"/>
      <c r="Q89" s="131"/>
      <c r="R89" s="131"/>
      <c r="S89" s="131"/>
      <c r="T89" s="124" t="s">
        <v>1128</v>
      </c>
      <c r="U89" s="132">
        <v>42608</v>
      </c>
      <c r="V89" s="131"/>
      <c r="W89" s="131"/>
      <c r="X89" s="131"/>
      <c r="Y89" s="131" t="s">
        <v>1129</v>
      </c>
      <c r="Z89" s="128" t="s">
        <v>1130</v>
      </c>
    </row>
    <row r="90" spans="1:26" ht="96" x14ac:dyDescent="0.25">
      <c r="A90" s="124">
        <v>89</v>
      </c>
      <c r="B90" s="124">
        <v>1</v>
      </c>
      <c r="C90" s="125">
        <v>43799</v>
      </c>
      <c r="D90" s="126">
        <v>89</v>
      </c>
      <c r="E90" s="126">
        <v>89</v>
      </c>
      <c r="F90" s="127" t="s">
        <v>1131</v>
      </c>
      <c r="G90" s="127" t="s">
        <v>1132</v>
      </c>
      <c r="H90" s="127" t="s">
        <v>1133</v>
      </c>
      <c r="I90" s="127" t="s">
        <v>1133</v>
      </c>
      <c r="J90" s="124"/>
      <c r="K90" s="124"/>
      <c r="L90" s="127" t="s">
        <v>1134</v>
      </c>
      <c r="M90" s="128" t="s">
        <v>1136</v>
      </c>
      <c r="N90" s="130">
        <v>1790250</v>
      </c>
      <c r="O90" s="130"/>
      <c r="P90" s="131"/>
      <c r="Q90" s="131"/>
      <c r="R90" s="131"/>
      <c r="S90" s="131"/>
      <c r="T90" s="124" t="s">
        <v>1134</v>
      </c>
      <c r="U90" s="132">
        <v>42531</v>
      </c>
      <c r="V90" s="131"/>
      <c r="W90" s="131"/>
      <c r="X90" s="131"/>
      <c r="Y90" s="124" t="s">
        <v>766</v>
      </c>
      <c r="Z90" s="128" t="s">
        <v>1135</v>
      </c>
    </row>
    <row r="91" spans="1:26" s="117" customFormat="1" ht="84" x14ac:dyDescent="0.25">
      <c r="A91" s="124">
        <v>90</v>
      </c>
      <c r="B91" s="124">
        <v>1</v>
      </c>
      <c r="C91" s="125">
        <v>43799</v>
      </c>
      <c r="D91" s="133">
        <v>90</v>
      </c>
      <c r="E91" s="133">
        <v>90</v>
      </c>
      <c r="F91" s="127" t="s">
        <v>1140</v>
      </c>
      <c r="G91" s="124" t="s">
        <v>1142</v>
      </c>
      <c r="H91" s="127" t="s">
        <v>1141</v>
      </c>
      <c r="I91" s="127" t="s">
        <v>1141</v>
      </c>
      <c r="J91" s="124"/>
      <c r="K91" s="124"/>
      <c r="L91" s="124" t="s">
        <v>1138</v>
      </c>
      <c r="M91" s="128"/>
      <c r="N91" s="130"/>
      <c r="O91" s="130"/>
      <c r="P91" s="131"/>
      <c r="Q91" s="131"/>
      <c r="R91" s="131"/>
      <c r="S91" s="131"/>
      <c r="T91" s="124" t="s">
        <v>1138</v>
      </c>
      <c r="U91" s="132">
        <v>42416</v>
      </c>
      <c r="V91" s="131"/>
      <c r="W91" s="131"/>
      <c r="X91" s="131"/>
      <c r="Y91" s="131" t="s">
        <v>1143</v>
      </c>
      <c r="Z91" s="128" t="s">
        <v>1139</v>
      </c>
    </row>
    <row r="92" spans="1:26" ht="84" x14ac:dyDescent="0.25">
      <c r="A92" s="124">
        <v>91</v>
      </c>
      <c r="B92" s="124">
        <v>1</v>
      </c>
      <c r="C92" s="125">
        <v>43895</v>
      </c>
      <c r="D92" s="124">
        <v>91</v>
      </c>
      <c r="E92" s="124">
        <v>91</v>
      </c>
      <c r="F92" s="124" t="s">
        <v>1146</v>
      </c>
      <c r="G92" s="124" t="s">
        <v>1147</v>
      </c>
      <c r="H92" s="124" t="s">
        <v>1148</v>
      </c>
      <c r="I92" s="124" t="s">
        <v>1148</v>
      </c>
      <c r="J92" s="124"/>
      <c r="K92" s="124"/>
      <c r="L92" s="127" t="s">
        <v>1149</v>
      </c>
      <c r="M92" s="127" t="s">
        <v>1150</v>
      </c>
      <c r="N92" s="138" t="s">
        <v>1151</v>
      </c>
      <c r="O92" s="130"/>
      <c r="P92" s="131"/>
      <c r="Q92" s="131"/>
      <c r="R92" s="131"/>
      <c r="S92" s="131"/>
      <c r="T92" s="127" t="s">
        <v>1149</v>
      </c>
      <c r="U92" s="132">
        <v>42916</v>
      </c>
      <c r="V92" s="131"/>
      <c r="W92" s="131"/>
      <c r="X92" s="131"/>
      <c r="Y92" s="124" t="s">
        <v>766</v>
      </c>
      <c r="Z92" s="127" t="s">
        <v>1152</v>
      </c>
    </row>
    <row r="93" spans="1:26" ht="108" x14ac:dyDescent="0.25">
      <c r="A93" s="124">
        <v>92</v>
      </c>
      <c r="B93" s="124">
        <v>1</v>
      </c>
      <c r="C93" s="125">
        <v>43973</v>
      </c>
      <c r="D93" s="124">
        <v>92</v>
      </c>
      <c r="E93" s="124">
        <v>92</v>
      </c>
      <c r="F93" s="127" t="s">
        <v>1153</v>
      </c>
      <c r="G93" s="124" t="s">
        <v>1156</v>
      </c>
      <c r="H93" s="124" t="s">
        <v>1159</v>
      </c>
      <c r="I93" s="124" t="s">
        <v>1159</v>
      </c>
      <c r="J93" s="124"/>
      <c r="K93" s="124"/>
      <c r="L93" s="127" t="s">
        <v>1160</v>
      </c>
      <c r="M93" s="127" t="s">
        <v>1161</v>
      </c>
      <c r="N93" s="130">
        <v>545722.19999999995</v>
      </c>
      <c r="O93" s="130"/>
      <c r="P93" s="131"/>
      <c r="Q93" s="131"/>
      <c r="R93" s="131"/>
      <c r="S93" s="131"/>
      <c r="T93" s="124" t="s">
        <v>731</v>
      </c>
      <c r="U93" s="124" t="s">
        <v>731</v>
      </c>
      <c r="V93" s="131"/>
      <c r="W93" s="131"/>
      <c r="X93" s="131"/>
      <c r="Y93" s="124" t="s">
        <v>766</v>
      </c>
      <c r="Z93" s="127" t="s">
        <v>731</v>
      </c>
    </row>
    <row r="94" spans="1:26" ht="96" x14ac:dyDescent="0.25">
      <c r="A94" s="124">
        <v>93</v>
      </c>
      <c r="B94" s="124">
        <v>1</v>
      </c>
      <c r="C94" s="125">
        <v>43973</v>
      </c>
      <c r="D94" s="126">
        <v>93</v>
      </c>
      <c r="E94" s="126">
        <v>93</v>
      </c>
      <c r="F94" s="127" t="s">
        <v>1154</v>
      </c>
      <c r="G94" s="124" t="s">
        <v>1157</v>
      </c>
      <c r="H94" s="124" t="s">
        <v>1159</v>
      </c>
      <c r="I94" s="124" t="s">
        <v>1159</v>
      </c>
      <c r="J94" s="124"/>
      <c r="K94" s="124"/>
      <c r="L94" s="127" t="s">
        <v>1160</v>
      </c>
      <c r="M94" s="127" t="s">
        <v>1161</v>
      </c>
      <c r="N94" s="130">
        <v>545722.19999999995</v>
      </c>
      <c r="O94" s="130"/>
      <c r="P94" s="131"/>
      <c r="Q94" s="131"/>
      <c r="R94" s="131"/>
      <c r="S94" s="131"/>
      <c r="T94" s="124" t="s">
        <v>731</v>
      </c>
      <c r="U94" s="124" t="s">
        <v>731</v>
      </c>
      <c r="V94" s="131"/>
      <c r="W94" s="131"/>
      <c r="X94" s="131"/>
      <c r="Y94" s="124" t="s">
        <v>766</v>
      </c>
      <c r="Z94" s="127" t="s">
        <v>731</v>
      </c>
    </row>
    <row r="95" spans="1:26" ht="96" x14ac:dyDescent="0.25">
      <c r="A95" s="124">
        <v>94</v>
      </c>
      <c r="B95" s="124">
        <v>1</v>
      </c>
      <c r="C95" s="125">
        <v>43973</v>
      </c>
      <c r="D95" s="133">
        <v>94</v>
      </c>
      <c r="E95" s="133">
        <v>94</v>
      </c>
      <c r="F95" s="127" t="s">
        <v>1155</v>
      </c>
      <c r="G95" s="124" t="s">
        <v>1158</v>
      </c>
      <c r="H95" s="124" t="s">
        <v>1159</v>
      </c>
      <c r="I95" s="124" t="s">
        <v>1159</v>
      </c>
      <c r="J95" s="124"/>
      <c r="K95" s="124"/>
      <c r="L95" s="127" t="s">
        <v>1160</v>
      </c>
      <c r="M95" s="127" t="s">
        <v>1161</v>
      </c>
      <c r="N95" s="130">
        <v>545722.19999999995</v>
      </c>
      <c r="O95" s="130"/>
      <c r="P95" s="131"/>
      <c r="Q95" s="131"/>
      <c r="R95" s="131"/>
      <c r="S95" s="131"/>
      <c r="T95" s="124" t="s">
        <v>731</v>
      </c>
      <c r="U95" s="124" t="s">
        <v>731</v>
      </c>
      <c r="V95" s="131"/>
      <c r="W95" s="131"/>
      <c r="X95" s="131"/>
      <c r="Y95" s="124" t="s">
        <v>766</v>
      </c>
      <c r="Z95" s="127" t="s">
        <v>731</v>
      </c>
    </row>
    <row r="96" spans="1:26" ht="120" x14ac:dyDescent="0.25">
      <c r="A96" s="124">
        <v>95</v>
      </c>
      <c r="B96" s="124">
        <v>1</v>
      </c>
      <c r="C96" s="125">
        <v>43819</v>
      </c>
      <c r="D96" s="126">
        <v>95</v>
      </c>
      <c r="E96" s="126">
        <v>95</v>
      </c>
      <c r="F96" s="124" t="s">
        <v>1162</v>
      </c>
      <c r="G96" s="124" t="s">
        <v>1163</v>
      </c>
      <c r="H96" s="124" t="s">
        <v>1164</v>
      </c>
      <c r="I96" s="124" t="s">
        <v>1164</v>
      </c>
      <c r="J96" s="124"/>
      <c r="K96" s="124"/>
      <c r="L96" s="139" t="s">
        <v>1165</v>
      </c>
      <c r="M96" s="128" t="s">
        <v>1166</v>
      </c>
      <c r="N96" s="130">
        <v>1352422.5</v>
      </c>
      <c r="O96" s="130"/>
      <c r="P96" s="131"/>
      <c r="Q96" s="131"/>
      <c r="R96" s="131"/>
      <c r="S96" s="131"/>
      <c r="T96" s="139" t="s">
        <v>1167</v>
      </c>
      <c r="U96" s="137">
        <v>44002</v>
      </c>
      <c r="V96" s="131"/>
      <c r="W96" s="131"/>
      <c r="X96" s="131"/>
      <c r="Y96" s="124" t="s">
        <v>766</v>
      </c>
      <c r="Z96" s="127" t="s">
        <v>1168</v>
      </c>
    </row>
    <row r="97" spans="1:33" ht="84" x14ac:dyDescent="0.25">
      <c r="A97" s="124">
        <v>96</v>
      </c>
      <c r="B97" s="124">
        <v>1</v>
      </c>
      <c r="C97" s="125">
        <v>43819</v>
      </c>
      <c r="D97" s="133">
        <v>96</v>
      </c>
      <c r="E97" s="133">
        <v>96</v>
      </c>
      <c r="F97" s="124" t="s">
        <v>1169</v>
      </c>
      <c r="G97" s="124" t="s">
        <v>1170</v>
      </c>
      <c r="H97" s="124" t="s">
        <v>1164</v>
      </c>
      <c r="I97" s="124" t="s">
        <v>1164</v>
      </c>
      <c r="J97" s="124"/>
      <c r="K97" s="124"/>
      <c r="L97" s="139" t="s">
        <v>1165</v>
      </c>
      <c r="M97" s="128" t="s">
        <v>1166</v>
      </c>
      <c r="N97" s="130">
        <v>1352422.5</v>
      </c>
      <c r="O97" s="130"/>
      <c r="P97" s="131"/>
      <c r="Q97" s="131"/>
      <c r="R97" s="131"/>
      <c r="S97" s="131"/>
      <c r="T97" s="139" t="s">
        <v>1167</v>
      </c>
      <c r="U97" s="137">
        <v>44002</v>
      </c>
      <c r="V97" s="131"/>
      <c r="W97" s="131"/>
      <c r="X97" s="131"/>
      <c r="Y97" s="124" t="s">
        <v>766</v>
      </c>
      <c r="Z97" s="127" t="s">
        <v>1168</v>
      </c>
    </row>
    <row r="98" spans="1:33" ht="84" x14ac:dyDescent="0.25">
      <c r="A98" s="124">
        <v>97</v>
      </c>
      <c r="B98" s="124">
        <v>1</v>
      </c>
      <c r="C98" s="125">
        <v>44286</v>
      </c>
      <c r="D98" s="133">
        <v>97</v>
      </c>
      <c r="E98" s="133">
        <v>97</v>
      </c>
      <c r="F98" s="124" t="s">
        <v>1175</v>
      </c>
      <c r="G98" s="124" t="s">
        <v>1176</v>
      </c>
      <c r="H98" s="124" t="s">
        <v>1177</v>
      </c>
      <c r="I98" s="124" t="s">
        <v>1177</v>
      </c>
      <c r="J98" s="124"/>
      <c r="K98" s="124"/>
      <c r="L98" s="139" t="s">
        <v>1178</v>
      </c>
      <c r="M98" s="128" t="s">
        <v>1179</v>
      </c>
      <c r="N98" s="130">
        <v>1980000</v>
      </c>
      <c r="O98" s="130">
        <v>0</v>
      </c>
      <c r="P98" s="131"/>
      <c r="Q98" s="131"/>
      <c r="R98" s="131"/>
      <c r="S98" s="131"/>
      <c r="T98" s="139" t="s">
        <v>1180</v>
      </c>
      <c r="U98" s="137">
        <v>42570</v>
      </c>
      <c r="V98" s="131"/>
      <c r="W98" s="131"/>
      <c r="X98" s="131"/>
      <c r="Y98" s="124"/>
      <c r="Z98" s="127"/>
    </row>
    <row r="99" spans="1:33" ht="63" customHeight="1" x14ac:dyDescent="0.25">
      <c r="A99" s="140"/>
      <c r="B99" s="141"/>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row>
    <row r="100" spans="1:33" x14ac:dyDescent="0.25">
      <c r="A100" s="140"/>
      <c r="B100" s="141"/>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row>
    <row r="101" spans="1:33" x14ac:dyDescent="0.25">
      <c r="A101" s="140"/>
      <c r="B101" s="141"/>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row>
    <row r="102" spans="1:33" x14ac:dyDescent="0.25">
      <c r="A102" s="140"/>
      <c r="B102" s="141"/>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row>
    <row r="103" spans="1:33" x14ac:dyDescent="0.25">
      <c r="A103" s="140"/>
      <c r="B103" s="141"/>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row>
    <row r="104" spans="1:33" x14ac:dyDescent="0.25">
      <c r="A104" s="140"/>
      <c r="B104" s="141"/>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row>
    <row r="105" spans="1:33" x14ac:dyDescent="0.25">
      <c r="A105" s="140"/>
      <c r="B105" s="141"/>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row>
    <row r="106" spans="1:33" ht="70.5" customHeight="1" x14ac:dyDescent="0.25">
      <c r="A106" s="140"/>
      <c r="B106" s="141"/>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row>
    <row r="107" spans="1:33" x14ac:dyDescent="0.25">
      <c r="A107" s="140"/>
      <c r="B107" s="141"/>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E107" s="113"/>
      <c r="AF107" s="113"/>
      <c r="AG107" s="113"/>
    </row>
    <row r="108" spans="1:33" x14ac:dyDescent="0.25">
      <c r="A108" s="140"/>
      <c r="B108" s="141"/>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E108" s="113"/>
      <c r="AF108" s="113"/>
      <c r="AG108" s="113"/>
    </row>
    <row r="109" spans="1:33" x14ac:dyDescent="0.25">
      <c r="A109" s="140"/>
      <c r="B109" s="141"/>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E109" s="113"/>
      <c r="AF109" s="113"/>
      <c r="AG109" s="113"/>
    </row>
    <row r="110" spans="1:33" x14ac:dyDescent="0.25">
      <c r="A110" s="140"/>
      <c r="B110" s="141"/>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E110" s="113"/>
      <c r="AF110" s="113"/>
      <c r="AG110" s="113"/>
    </row>
    <row r="111" spans="1:33" x14ac:dyDescent="0.25">
      <c r="A111" s="140"/>
      <c r="B111" s="141"/>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E111" s="113"/>
      <c r="AF111" s="113"/>
      <c r="AG111" s="113"/>
    </row>
    <row r="112" spans="1:33" x14ac:dyDescent="0.25">
      <c r="A112" s="140"/>
      <c r="B112" s="141"/>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E112" s="113"/>
      <c r="AF112" s="113"/>
      <c r="AG112" s="113"/>
    </row>
    <row r="113" spans="1:33" x14ac:dyDescent="0.25">
      <c r="A113" s="140"/>
      <c r="B113" s="141"/>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E113" s="113"/>
      <c r="AF113" s="113"/>
      <c r="AG113" s="113"/>
    </row>
    <row r="114" spans="1:33" ht="75" customHeight="1" x14ac:dyDescent="0.25">
      <c r="A114" s="140"/>
      <c r="B114" s="141"/>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E114" s="113"/>
      <c r="AF114" s="113"/>
      <c r="AG114" s="113"/>
    </row>
    <row r="115" spans="1:33" x14ac:dyDescent="0.25">
      <c r="A115" s="140"/>
      <c r="B115" s="141"/>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E115" s="113"/>
      <c r="AF115" s="113"/>
      <c r="AG115" s="113"/>
    </row>
    <row r="116" spans="1:33" x14ac:dyDescent="0.25">
      <c r="A116" s="140"/>
      <c r="B116" s="141"/>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E116" s="113"/>
      <c r="AF116" s="113"/>
      <c r="AG116" s="113"/>
    </row>
    <row r="117" spans="1:33" x14ac:dyDescent="0.25">
      <c r="A117" s="140"/>
      <c r="B117" s="141"/>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E117" s="113"/>
      <c r="AF117" s="113"/>
      <c r="AG117" s="113"/>
    </row>
    <row r="118" spans="1:33" x14ac:dyDescent="0.25">
      <c r="A118" s="140"/>
      <c r="B118" s="141"/>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E118" s="113"/>
      <c r="AF118" s="113"/>
      <c r="AG118" s="113"/>
    </row>
    <row r="119" spans="1:33" x14ac:dyDescent="0.25">
      <c r="A119" s="140"/>
      <c r="B119" s="141"/>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E119" s="113"/>
      <c r="AF119" s="113"/>
      <c r="AG119" s="113"/>
    </row>
    <row r="120" spans="1:33" x14ac:dyDescent="0.25">
      <c r="A120" s="140"/>
      <c r="B120" s="141"/>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E120" s="113"/>
      <c r="AF120" s="113"/>
      <c r="AG120" s="113"/>
    </row>
    <row r="121" spans="1:33" x14ac:dyDescent="0.25">
      <c r="A121" s="140"/>
      <c r="B121" s="141"/>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E121" s="113"/>
      <c r="AF121" s="113"/>
      <c r="AG121" s="113"/>
    </row>
    <row r="122" spans="1:33" x14ac:dyDescent="0.25">
      <c r="A122" s="140"/>
      <c r="B122" s="141"/>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E122" s="113"/>
      <c r="AF122" s="113"/>
      <c r="AG122" s="113"/>
    </row>
    <row r="123" spans="1:33" ht="106.5" customHeight="1" x14ac:dyDescent="0.25">
      <c r="A123" s="140"/>
      <c r="B123" s="141"/>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E123" s="113"/>
      <c r="AF123" s="113"/>
      <c r="AG123" s="113"/>
    </row>
    <row r="124" spans="1:33" x14ac:dyDescent="0.25">
      <c r="A124" s="140"/>
      <c r="B124" s="141"/>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E124" s="113"/>
      <c r="AF124" s="113"/>
      <c r="AG124" s="113"/>
    </row>
    <row r="125" spans="1:33" x14ac:dyDescent="0.25">
      <c r="A125" s="140"/>
      <c r="B125" s="141"/>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E125" s="113"/>
      <c r="AF125" s="113"/>
      <c r="AG125" s="113"/>
    </row>
    <row r="126" spans="1:33" x14ac:dyDescent="0.25">
      <c r="A126" s="140"/>
      <c r="B126" s="141"/>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E126" s="113"/>
      <c r="AF126" s="113"/>
      <c r="AG126" s="113"/>
    </row>
    <row r="127" spans="1:33" x14ac:dyDescent="0.25">
      <c r="A127" s="140"/>
      <c r="B127" s="141"/>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E127" s="113"/>
      <c r="AF127" s="113"/>
      <c r="AG127" s="113"/>
    </row>
    <row r="128" spans="1:33" x14ac:dyDescent="0.25">
      <c r="A128" s="140"/>
      <c r="B128" s="141"/>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E128" s="113"/>
      <c r="AF128" s="113"/>
      <c r="AG128" s="113"/>
    </row>
    <row r="129" spans="1:33" x14ac:dyDescent="0.25">
      <c r="A129" s="140"/>
      <c r="B129" s="141"/>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E129" s="113"/>
      <c r="AF129" s="113"/>
      <c r="AG129" s="113"/>
    </row>
    <row r="130" spans="1:33" x14ac:dyDescent="0.25">
      <c r="A130" s="140"/>
      <c r="B130" s="141"/>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E130" s="113"/>
      <c r="AF130" s="113"/>
      <c r="AG130" s="113"/>
    </row>
    <row r="131" spans="1:33" x14ac:dyDescent="0.25">
      <c r="A131" s="140"/>
      <c r="B131" s="141"/>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E131" s="113"/>
      <c r="AF131" s="113"/>
      <c r="AG131" s="113"/>
    </row>
    <row r="132" spans="1:33" x14ac:dyDescent="0.25">
      <c r="A132" s="140"/>
      <c r="B132" s="141"/>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E132" s="113"/>
      <c r="AF132" s="113"/>
      <c r="AG132" s="113"/>
    </row>
    <row r="133" spans="1:33" x14ac:dyDescent="0.25">
      <c r="A133" s="140"/>
      <c r="B133" s="141"/>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E133" s="113"/>
      <c r="AF133" s="113"/>
      <c r="AG133" s="113"/>
    </row>
    <row r="134" spans="1:33" x14ac:dyDescent="0.25">
      <c r="A134" s="140"/>
      <c r="B134" s="141"/>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E134" s="113"/>
      <c r="AF134" s="113"/>
      <c r="AG134" s="113"/>
    </row>
    <row r="135" spans="1:33" x14ac:dyDescent="0.25">
      <c r="A135" s="140"/>
      <c r="B135" s="141"/>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E135" s="113"/>
      <c r="AF135" s="113"/>
      <c r="AG135" s="113"/>
    </row>
    <row r="136" spans="1:33" ht="37.5" customHeight="1" x14ac:dyDescent="0.25">
      <c r="A136" s="140"/>
      <c r="B136" s="141"/>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E136" s="113"/>
      <c r="AF136" s="113"/>
      <c r="AG136" s="113"/>
    </row>
    <row r="137" spans="1:33" x14ac:dyDescent="0.25">
      <c r="A137" s="140"/>
      <c r="B137" s="141"/>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E137" s="113"/>
      <c r="AF137" s="113"/>
      <c r="AG137" s="113"/>
    </row>
    <row r="138" spans="1:33" x14ac:dyDescent="0.25">
      <c r="A138" s="140"/>
      <c r="B138" s="141"/>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E138" s="113"/>
      <c r="AF138" s="113"/>
      <c r="AG138" s="113"/>
    </row>
    <row r="139" spans="1:33" x14ac:dyDescent="0.25">
      <c r="A139" s="140"/>
      <c r="B139" s="141"/>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E139" s="113"/>
      <c r="AF139" s="113"/>
      <c r="AG139" s="113"/>
    </row>
    <row r="140" spans="1:33" x14ac:dyDescent="0.25">
      <c r="A140" s="140"/>
      <c r="B140" s="141"/>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E140" s="113"/>
      <c r="AF140" s="113"/>
      <c r="AG140" s="113"/>
    </row>
    <row r="141" spans="1:33" x14ac:dyDescent="0.25">
      <c r="A141" s="140"/>
      <c r="B141" s="141"/>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E141" s="113"/>
      <c r="AF141" s="113"/>
      <c r="AG141" s="113"/>
    </row>
    <row r="142" spans="1:33" x14ac:dyDescent="0.25">
      <c r="A142" s="140"/>
      <c r="B142" s="141"/>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E142" s="113"/>
      <c r="AF142" s="113"/>
      <c r="AG142" s="113"/>
    </row>
    <row r="143" spans="1:33" ht="39.75" customHeight="1" x14ac:dyDescent="0.25">
      <c r="A143" s="140"/>
      <c r="B143" s="141"/>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E143" s="113"/>
      <c r="AF143" s="113"/>
      <c r="AG143" s="113"/>
    </row>
    <row r="144" spans="1:33" x14ac:dyDescent="0.25">
      <c r="A144" s="140"/>
      <c r="B144" s="141"/>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E144" s="113"/>
      <c r="AF144" s="113"/>
      <c r="AG144" s="113"/>
    </row>
    <row r="145" spans="1:33" x14ac:dyDescent="0.25">
      <c r="A145" s="140"/>
      <c r="B145" s="141"/>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E145" s="113"/>
      <c r="AF145" s="113"/>
      <c r="AG145" s="113"/>
    </row>
    <row r="146" spans="1:33" x14ac:dyDescent="0.25">
      <c r="A146" s="140"/>
      <c r="B146" s="141"/>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E146" s="113"/>
      <c r="AF146" s="113"/>
      <c r="AG146" s="113"/>
    </row>
    <row r="147" spans="1:33" x14ac:dyDescent="0.25">
      <c r="A147" s="140"/>
      <c r="B147" s="141"/>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E147" s="113"/>
      <c r="AF147" s="113"/>
      <c r="AG147" s="113"/>
    </row>
    <row r="148" spans="1:33" x14ac:dyDescent="0.25">
      <c r="A148" s="140"/>
      <c r="B148" s="141"/>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E148" s="113"/>
      <c r="AF148" s="113"/>
      <c r="AG148" s="113"/>
    </row>
    <row r="149" spans="1:33" x14ac:dyDescent="0.25">
      <c r="A149" s="140"/>
      <c r="B149" s="141"/>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E149" s="113"/>
      <c r="AF149" s="113"/>
      <c r="AG149" s="113"/>
    </row>
    <row r="150" spans="1:33" x14ac:dyDescent="0.25">
      <c r="A150" s="140"/>
      <c r="B150" s="141"/>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E150" s="113"/>
      <c r="AF150" s="113"/>
      <c r="AG150" s="113"/>
    </row>
    <row r="151" spans="1:33" x14ac:dyDescent="0.25">
      <c r="A151" s="140"/>
      <c r="B151" s="141"/>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E151" s="113"/>
      <c r="AF151" s="113"/>
      <c r="AG151" s="113"/>
    </row>
    <row r="152" spans="1:33" x14ac:dyDescent="0.25">
      <c r="A152" s="140"/>
      <c r="B152" s="141"/>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E152" s="113"/>
      <c r="AF152" s="113"/>
      <c r="AG152" s="113"/>
    </row>
    <row r="153" spans="1:33" x14ac:dyDescent="0.25">
      <c r="A153" s="140"/>
      <c r="B153" s="141"/>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E153" s="113"/>
      <c r="AF153" s="113"/>
      <c r="AG153" s="113"/>
    </row>
    <row r="154" spans="1:33" x14ac:dyDescent="0.25">
      <c r="A154" s="140"/>
      <c r="B154" s="141"/>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E154" s="113"/>
      <c r="AF154" s="113"/>
      <c r="AG154" s="113"/>
    </row>
    <row r="155" spans="1:33" x14ac:dyDescent="0.25">
      <c r="A155" s="140"/>
      <c r="B155" s="141"/>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E155" s="113"/>
      <c r="AF155" s="113"/>
      <c r="AG155" s="113"/>
    </row>
    <row r="156" spans="1:33" x14ac:dyDescent="0.25">
      <c r="A156" s="140"/>
      <c r="B156" s="141"/>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12"/>
      <c r="AB156" s="112"/>
      <c r="AE156" s="113"/>
      <c r="AF156" s="113"/>
      <c r="AG156" s="113"/>
    </row>
    <row r="157" spans="1:33" x14ac:dyDescent="0.25">
      <c r="A157" s="140"/>
      <c r="B157" s="141"/>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E157" s="113"/>
      <c r="AF157" s="113"/>
      <c r="AG157" s="113"/>
    </row>
    <row r="158" spans="1:33" x14ac:dyDescent="0.25">
      <c r="A158" s="140"/>
      <c r="B158" s="141"/>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row>
    <row r="159" spans="1:33" x14ac:dyDescent="0.25">
      <c r="A159" s="140"/>
      <c r="B159" s="141"/>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row>
    <row r="160" spans="1:33" x14ac:dyDescent="0.25">
      <c r="A160" s="140"/>
      <c r="B160" s="141"/>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row>
    <row r="161" spans="1:26" x14ac:dyDescent="0.25">
      <c r="A161" s="140"/>
      <c r="B161" s="141"/>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row>
    <row r="162" spans="1:26" x14ac:dyDescent="0.25">
      <c r="A162" s="140"/>
      <c r="B162" s="141"/>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row>
    <row r="163" spans="1:26" x14ac:dyDescent="0.25">
      <c r="A163" s="140"/>
      <c r="B163" s="141"/>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row>
    <row r="164" spans="1:26" x14ac:dyDescent="0.25">
      <c r="A164" s="140"/>
      <c r="B164" s="141"/>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row>
    <row r="165" spans="1:26" x14ac:dyDescent="0.25">
      <c r="A165" s="140"/>
      <c r="B165" s="141"/>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row>
    <row r="166" spans="1:26" x14ac:dyDescent="0.25">
      <c r="A166" s="140"/>
      <c r="B166" s="141"/>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row>
    <row r="167" spans="1:26" x14ac:dyDescent="0.25">
      <c r="A167" s="140"/>
      <c r="B167" s="141"/>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row>
    <row r="168" spans="1:26" x14ac:dyDescent="0.25">
      <c r="A168" s="140"/>
      <c r="B168" s="141"/>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row>
    <row r="169" spans="1:26" x14ac:dyDescent="0.25">
      <c r="A169" s="140"/>
      <c r="B169" s="141"/>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row>
    <row r="170" spans="1:26" x14ac:dyDescent="0.25">
      <c r="A170" s="140"/>
      <c r="B170" s="141"/>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row>
    <row r="171" spans="1:26" x14ac:dyDescent="0.25">
      <c r="A171" s="140"/>
      <c r="B171" s="141"/>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row>
    <row r="172" spans="1:26" x14ac:dyDescent="0.25">
      <c r="A172" s="140"/>
      <c r="B172" s="141"/>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row>
    <row r="173" spans="1:26" x14ac:dyDescent="0.25">
      <c r="A173" s="140"/>
      <c r="B173" s="141"/>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row>
    <row r="174" spans="1:26" x14ac:dyDescent="0.25">
      <c r="A174" s="140"/>
      <c r="B174" s="141"/>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row>
    <row r="175" spans="1:26" x14ac:dyDescent="0.25">
      <c r="A175" s="140"/>
      <c r="B175" s="141"/>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row>
    <row r="176" spans="1:26" x14ac:dyDescent="0.25">
      <c r="A176" s="140"/>
      <c r="B176" s="141"/>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row>
    <row r="177" spans="1:26" x14ac:dyDescent="0.25">
      <c r="A177" s="140"/>
      <c r="B177" s="141"/>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row>
    <row r="178" spans="1:26" x14ac:dyDescent="0.25">
      <c r="A178" s="140"/>
      <c r="B178" s="141"/>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row>
    <row r="179" spans="1:26" x14ac:dyDescent="0.25">
      <c r="A179" s="140"/>
      <c r="B179" s="141"/>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row>
    <row r="180" spans="1:26" x14ac:dyDescent="0.25">
      <c r="A180" s="140"/>
      <c r="B180" s="141"/>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row>
    <row r="181" spans="1:26" x14ac:dyDescent="0.25">
      <c r="A181" s="140"/>
      <c r="B181" s="141"/>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row>
    <row r="182" spans="1:26" x14ac:dyDescent="0.25">
      <c r="A182" s="140"/>
      <c r="B182" s="141"/>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row>
    <row r="183" spans="1:26" x14ac:dyDescent="0.25">
      <c r="A183" s="140"/>
      <c r="B183" s="141"/>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row>
    <row r="184" spans="1:26" x14ac:dyDescent="0.25">
      <c r="A184" s="140"/>
      <c r="B184" s="141"/>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row>
    <row r="185" spans="1:26" x14ac:dyDescent="0.25">
      <c r="A185" s="140"/>
      <c r="B185" s="141"/>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row>
    <row r="186" spans="1:26" x14ac:dyDescent="0.25">
      <c r="A186" s="140"/>
      <c r="B186" s="141"/>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row>
    <row r="187" spans="1:26" x14ac:dyDescent="0.25">
      <c r="A187" s="140"/>
      <c r="B187" s="141"/>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row>
    <row r="188" spans="1:26" x14ac:dyDescent="0.25">
      <c r="A188" s="140"/>
      <c r="B188" s="141"/>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row>
    <row r="189" spans="1:26" x14ac:dyDescent="0.25">
      <c r="A189" s="140"/>
      <c r="B189" s="141"/>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row>
    <row r="190" spans="1:26" x14ac:dyDescent="0.25">
      <c r="A190" s="140"/>
      <c r="B190" s="141"/>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row>
    <row r="191" spans="1:26" x14ac:dyDescent="0.25">
      <c r="A191" s="140"/>
      <c r="B191" s="141"/>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row>
    <row r="192" spans="1:26" x14ac:dyDescent="0.25">
      <c r="A192" s="140"/>
      <c r="B192" s="141"/>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row>
    <row r="193" spans="1:26" x14ac:dyDescent="0.25">
      <c r="A193" s="140"/>
      <c r="B193" s="141"/>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row>
    <row r="194" spans="1:26" x14ac:dyDescent="0.25">
      <c r="A194" s="140"/>
      <c r="B194" s="141"/>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row>
    <row r="195" spans="1:26" x14ac:dyDescent="0.25">
      <c r="A195" s="140"/>
      <c r="B195" s="141"/>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row>
    <row r="196" spans="1:26" x14ac:dyDescent="0.25">
      <c r="A196" s="140"/>
      <c r="B196" s="141"/>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row>
    <row r="197" spans="1:26" x14ac:dyDescent="0.25">
      <c r="A197" s="140"/>
      <c r="B197" s="141"/>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row>
    <row r="198" spans="1:26" x14ac:dyDescent="0.25">
      <c r="A198" s="140"/>
      <c r="B198" s="141"/>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row>
    <row r="199" spans="1:26" x14ac:dyDescent="0.25">
      <c r="A199" s="140"/>
      <c r="B199" s="141"/>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row>
    <row r="200" spans="1:26" x14ac:dyDescent="0.25">
      <c r="A200" s="140"/>
      <c r="B200" s="141"/>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row>
    <row r="201" spans="1:26" x14ac:dyDescent="0.25">
      <c r="A201" s="140"/>
      <c r="B201" s="141"/>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row>
    <row r="202" spans="1:26" x14ac:dyDescent="0.25">
      <c r="A202" s="140"/>
      <c r="B202" s="141"/>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row>
    <row r="203" spans="1:26" x14ac:dyDescent="0.25">
      <c r="A203" s="140"/>
      <c r="B203" s="141"/>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row>
    <row r="204" spans="1:26" x14ac:dyDescent="0.25">
      <c r="A204" s="140"/>
      <c r="B204" s="141"/>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row>
    <row r="205" spans="1:26" x14ac:dyDescent="0.25">
      <c r="A205" s="140"/>
      <c r="B205" s="141"/>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row>
    <row r="206" spans="1:26" x14ac:dyDescent="0.25">
      <c r="A206" s="140"/>
      <c r="B206" s="141"/>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row>
    <row r="207" spans="1:26" x14ac:dyDescent="0.25">
      <c r="A207" s="140"/>
      <c r="B207" s="141"/>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row>
    <row r="208" spans="1:26" x14ac:dyDescent="0.25">
      <c r="A208" s="140"/>
      <c r="B208" s="141"/>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row>
    <row r="209" spans="1:26" x14ac:dyDescent="0.25">
      <c r="A209" s="140"/>
      <c r="B209" s="141"/>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row>
    <row r="210" spans="1:26" x14ac:dyDescent="0.25">
      <c r="A210" s="140"/>
      <c r="B210" s="141"/>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row>
    <row r="211" spans="1:26" x14ac:dyDescent="0.25">
      <c r="A211" s="140"/>
      <c r="B211" s="141"/>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row>
    <row r="212" spans="1:26" x14ac:dyDescent="0.25">
      <c r="A212" s="140"/>
      <c r="B212" s="141"/>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row>
    <row r="213" spans="1:26" x14ac:dyDescent="0.25">
      <c r="A213" s="140"/>
      <c r="B213" s="141"/>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row>
    <row r="214" spans="1:26" x14ac:dyDescent="0.25">
      <c r="A214" s="140"/>
      <c r="B214" s="141"/>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row>
    <row r="215" spans="1:26" x14ac:dyDescent="0.25">
      <c r="A215" s="140"/>
      <c r="B215" s="141"/>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row>
    <row r="216" spans="1:26" x14ac:dyDescent="0.25">
      <c r="A216" s="140"/>
      <c r="B216" s="141"/>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row>
    <row r="217" spans="1:26" x14ac:dyDescent="0.25">
      <c r="A217" s="140"/>
      <c r="B217" s="141"/>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row>
    <row r="218" spans="1:26" x14ac:dyDescent="0.25">
      <c r="A218" s="140"/>
      <c r="B218" s="141"/>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row>
    <row r="219" spans="1:26" x14ac:dyDescent="0.25">
      <c r="A219" s="140"/>
      <c r="B219" s="141"/>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row>
    <row r="220" spans="1:26" x14ac:dyDescent="0.25">
      <c r="A220" s="140"/>
      <c r="B220" s="141"/>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row>
    <row r="221" spans="1:26" x14ac:dyDescent="0.25">
      <c r="A221" s="140"/>
      <c r="B221" s="141"/>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row>
    <row r="222" spans="1:26" x14ac:dyDescent="0.25">
      <c r="A222" s="140"/>
      <c r="B222" s="141"/>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row>
    <row r="223" spans="1:26" x14ac:dyDescent="0.25">
      <c r="A223" s="140"/>
      <c r="B223" s="141"/>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row>
    <row r="224" spans="1:26" x14ac:dyDescent="0.25">
      <c r="A224" s="140"/>
      <c r="B224" s="141"/>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row>
    <row r="225" spans="1:26" x14ac:dyDescent="0.25">
      <c r="A225" s="140"/>
      <c r="B225" s="141"/>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row>
    <row r="226" spans="1:26" x14ac:dyDescent="0.25">
      <c r="A226" s="140"/>
      <c r="B226" s="141"/>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row>
    <row r="227" spans="1:26" x14ac:dyDescent="0.25">
      <c r="A227" s="140"/>
      <c r="B227" s="141"/>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row>
    <row r="228" spans="1:26" x14ac:dyDescent="0.25">
      <c r="A228" s="140"/>
      <c r="B228" s="141"/>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row>
    <row r="229" spans="1:26" x14ac:dyDescent="0.25">
      <c r="A229" s="140"/>
      <c r="B229" s="141"/>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row>
    <row r="230" spans="1:26" x14ac:dyDescent="0.25">
      <c r="A230" s="140"/>
      <c r="B230" s="141"/>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row>
    <row r="231" spans="1:26" x14ac:dyDescent="0.25">
      <c r="A231" s="140"/>
      <c r="B231" s="141"/>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row>
    <row r="232" spans="1:26" x14ac:dyDescent="0.25">
      <c r="A232" s="140"/>
      <c r="B232" s="141"/>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row>
    <row r="233" spans="1:26" x14ac:dyDescent="0.25">
      <c r="A233" s="140"/>
      <c r="B233" s="141"/>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row>
    <row r="234" spans="1:26" x14ac:dyDescent="0.25">
      <c r="A234" s="140"/>
      <c r="B234" s="141"/>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row>
    <row r="235" spans="1:26" x14ac:dyDescent="0.25">
      <c r="A235" s="140"/>
      <c r="B235" s="141"/>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row>
    <row r="236" spans="1:26" x14ac:dyDescent="0.25">
      <c r="A236" s="140"/>
      <c r="B236" s="141"/>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row>
    <row r="237" spans="1:26" x14ac:dyDescent="0.25">
      <c r="A237" s="140"/>
      <c r="B237" s="141"/>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row>
    <row r="238" spans="1:26" x14ac:dyDescent="0.25">
      <c r="A238" s="140"/>
      <c r="B238" s="141"/>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row>
    <row r="239" spans="1:26" x14ac:dyDescent="0.25">
      <c r="A239" s="140"/>
      <c r="B239" s="141"/>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row>
    <row r="240" spans="1:26" x14ac:dyDescent="0.25">
      <c r="A240" s="140"/>
      <c r="B240" s="141"/>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row>
    <row r="241" spans="1:26" x14ac:dyDescent="0.25">
      <c r="A241" s="140"/>
      <c r="B241" s="141"/>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row>
    <row r="242" spans="1:26" x14ac:dyDescent="0.25">
      <c r="A242" s="140"/>
      <c r="B242" s="141"/>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row>
    <row r="243" spans="1:26" x14ac:dyDescent="0.25">
      <c r="A243" s="140"/>
      <c r="B243" s="141"/>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row>
    <row r="244" spans="1:26" x14ac:dyDescent="0.25">
      <c r="A244" s="140"/>
      <c r="B244" s="141"/>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row>
    <row r="245" spans="1:26" x14ac:dyDescent="0.25">
      <c r="A245" s="140"/>
      <c r="B245" s="141"/>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row>
    <row r="246" spans="1:26" x14ac:dyDescent="0.25">
      <c r="A246" s="140"/>
      <c r="B246" s="141"/>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row>
    <row r="247" spans="1:26" x14ac:dyDescent="0.25">
      <c r="A247" s="140"/>
      <c r="B247" s="141"/>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row>
    <row r="248" spans="1:26" x14ac:dyDescent="0.25">
      <c r="A248" s="140"/>
      <c r="B248" s="141"/>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row>
    <row r="249" spans="1:26" x14ac:dyDescent="0.25">
      <c r="A249" s="140"/>
      <c r="B249" s="141"/>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row>
    <row r="250" spans="1:26" x14ac:dyDescent="0.25">
      <c r="A250" s="140"/>
      <c r="B250" s="141"/>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row>
    <row r="251" spans="1:26" x14ac:dyDescent="0.25">
      <c r="A251" s="140"/>
      <c r="B251" s="141"/>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row>
    <row r="252" spans="1:26" x14ac:dyDescent="0.25">
      <c r="A252" s="140"/>
      <c r="B252" s="141"/>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row>
    <row r="253" spans="1:26" x14ac:dyDescent="0.25">
      <c r="A253" s="140"/>
      <c r="B253" s="141"/>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row>
    <row r="254" spans="1:26" x14ac:dyDescent="0.25">
      <c r="A254" s="140"/>
      <c r="B254" s="141"/>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row>
    <row r="255" spans="1:26" x14ac:dyDescent="0.25">
      <c r="A255" s="140"/>
      <c r="B255" s="141"/>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row>
    <row r="256" spans="1:26" x14ac:dyDescent="0.25">
      <c r="A256" s="140"/>
      <c r="B256" s="141"/>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row>
    <row r="257" spans="1:26" x14ac:dyDescent="0.25">
      <c r="A257" s="140"/>
      <c r="B257" s="141"/>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row>
    <row r="258" spans="1:26" x14ac:dyDescent="0.25">
      <c r="A258" s="140"/>
      <c r="B258" s="141"/>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row>
    <row r="259" spans="1:26" x14ac:dyDescent="0.25">
      <c r="A259" s="140"/>
      <c r="B259" s="141"/>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row>
    <row r="260" spans="1:26" x14ac:dyDescent="0.25">
      <c r="A260" s="140"/>
      <c r="B260" s="141"/>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row>
    <row r="261" spans="1:26" x14ac:dyDescent="0.25">
      <c r="A261" s="140"/>
      <c r="B261" s="141"/>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row>
    <row r="262" spans="1:26" x14ac:dyDescent="0.25">
      <c r="A262" s="140"/>
      <c r="B262" s="141"/>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row>
    <row r="263" spans="1:26" x14ac:dyDescent="0.25">
      <c r="A263" s="140"/>
      <c r="B263" s="141"/>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row>
    <row r="264" spans="1:26" x14ac:dyDescent="0.25">
      <c r="A264" s="140"/>
      <c r="B264" s="141"/>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row>
    <row r="265" spans="1:26" x14ac:dyDescent="0.25">
      <c r="A265" s="140"/>
      <c r="B265" s="141"/>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row>
    <row r="266" spans="1:26" x14ac:dyDescent="0.25">
      <c r="A266" s="140"/>
      <c r="B266" s="141"/>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row>
    <row r="267" spans="1:26" x14ac:dyDescent="0.25">
      <c r="A267" s="140"/>
      <c r="B267" s="141"/>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row>
    <row r="268" spans="1:26" x14ac:dyDescent="0.25">
      <c r="A268" s="140"/>
      <c r="B268" s="141"/>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row>
    <row r="269" spans="1:26" x14ac:dyDescent="0.25">
      <c r="A269" s="140"/>
      <c r="B269" s="141"/>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row>
    <row r="270" spans="1:26" x14ac:dyDescent="0.25">
      <c r="A270" s="140"/>
      <c r="B270" s="141"/>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row>
    <row r="271" spans="1:26" x14ac:dyDescent="0.25">
      <c r="A271" s="140"/>
      <c r="B271" s="141"/>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row>
    <row r="272" spans="1:26" x14ac:dyDescent="0.25">
      <c r="A272" s="140"/>
      <c r="B272" s="141"/>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row>
    <row r="273" spans="1:26" x14ac:dyDescent="0.25">
      <c r="A273" s="140"/>
      <c r="B273" s="141"/>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row>
    <row r="274" spans="1:26" x14ac:dyDescent="0.25">
      <c r="A274" s="140"/>
      <c r="B274" s="141"/>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row>
    <row r="275" spans="1:26" x14ac:dyDescent="0.25">
      <c r="A275" s="140"/>
      <c r="B275" s="141"/>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row>
    <row r="276" spans="1:26" x14ac:dyDescent="0.25">
      <c r="A276" s="140"/>
      <c r="B276" s="141"/>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row>
    <row r="277" spans="1:26" x14ac:dyDescent="0.25">
      <c r="A277" s="140"/>
      <c r="B277" s="141"/>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row>
    <row r="278" spans="1:26" x14ac:dyDescent="0.25">
      <c r="A278" s="140"/>
      <c r="B278" s="141"/>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row>
    <row r="279" spans="1:26" x14ac:dyDescent="0.25">
      <c r="A279" s="140"/>
      <c r="B279" s="141"/>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row>
    <row r="280" spans="1:26" x14ac:dyDescent="0.25">
      <c r="A280" s="140"/>
      <c r="B280" s="141"/>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row>
    <row r="281" spans="1:26" x14ac:dyDescent="0.25">
      <c r="A281" s="140"/>
      <c r="B281" s="141"/>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row>
    <row r="282" spans="1:26" x14ac:dyDescent="0.25">
      <c r="A282" s="140"/>
      <c r="B282" s="141"/>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row>
    <row r="283" spans="1:26" x14ac:dyDescent="0.25">
      <c r="A283" s="140"/>
      <c r="B283" s="141"/>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row>
    <row r="284" spans="1:26" x14ac:dyDescent="0.25">
      <c r="A284" s="140"/>
      <c r="B284" s="141"/>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row>
    <row r="285" spans="1:26" x14ac:dyDescent="0.25">
      <c r="A285" s="140"/>
      <c r="B285" s="141"/>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row>
    <row r="286" spans="1:26" x14ac:dyDescent="0.25">
      <c r="A286" s="140"/>
      <c r="B286" s="141"/>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row>
    <row r="287" spans="1:26" x14ac:dyDescent="0.25">
      <c r="A287" s="140"/>
      <c r="B287" s="141"/>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row>
    <row r="288" spans="1:26" x14ac:dyDescent="0.25">
      <c r="A288" s="140"/>
      <c r="B288" s="141"/>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row>
    <row r="289" spans="1:26" x14ac:dyDescent="0.25">
      <c r="A289" s="140"/>
      <c r="B289" s="141"/>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row>
    <row r="290" spans="1:26" x14ac:dyDescent="0.25">
      <c r="A290" s="140"/>
      <c r="B290" s="141"/>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row>
    <row r="291" spans="1:26" x14ac:dyDescent="0.25">
      <c r="A291" s="140"/>
      <c r="B291" s="141"/>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row>
    <row r="292" spans="1:26" x14ac:dyDescent="0.25">
      <c r="A292" s="140"/>
      <c r="B292" s="141"/>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row>
    <row r="293" spans="1:26" x14ac:dyDescent="0.25">
      <c r="A293" s="140"/>
      <c r="B293" s="141"/>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row>
    <row r="294" spans="1:26" x14ac:dyDescent="0.25">
      <c r="A294" s="140"/>
      <c r="B294" s="141"/>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row>
    <row r="295" spans="1:26" x14ac:dyDescent="0.25">
      <c r="A295" s="140"/>
      <c r="B295" s="141"/>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row>
    <row r="296" spans="1:26" x14ac:dyDescent="0.25">
      <c r="A296" s="140"/>
      <c r="B296" s="141"/>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row>
    <row r="297" spans="1:26" x14ac:dyDescent="0.25">
      <c r="A297" s="140"/>
      <c r="B297" s="141"/>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row>
    <row r="298" spans="1:26" x14ac:dyDescent="0.25">
      <c r="A298" s="140"/>
      <c r="B298" s="141"/>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row>
    <row r="299" spans="1:26" x14ac:dyDescent="0.25">
      <c r="A299" s="140"/>
      <c r="B299" s="141"/>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row>
    <row r="300" spans="1:26" x14ac:dyDescent="0.25">
      <c r="A300" s="140"/>
      <c r="B300" s="141"/>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row>
    <row r="301" spans="1:26" x14ac:dyDescent="0.25">
      <c r="A301" s="140"/>
      <c r="B301" s="141"/>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row>
    <row r="302" spans="1:26" x14ac:dyDescent="0.25">
      <c r="A302" s="140"/>
      <c r="B302" s="141"/>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row>
    <row r="303" spans="1:26" x14ac:dyDescent="0.25">
      <c r="A303" s="140"/>
      <c r="B303" s="141"/>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row>
    <row r="304" spans="1:26" x14ac:dyDescent="0.25">
      <c r="A304" s="140"/>
      <c r="B304" s="141"/>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row>
    <row r="305" spans="1:26" x14ac:dyDescent="0.25">
      <c r="A305" s="140"/>
      <c r="B305" s="141"/>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row>
    <row r="306" spans="1:26" x14ac:dyDescent="0.25">
      <c r="A306" s="140"/>
      <c r="B306" s="141"/>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row>
    <row r="307" spans="1:26" x14ac:dyDescent="0.25">
      <c r="A307" s="140"/>
      <c r="B307" s="141"/>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row>
    <row r="308" spans="1:26" x14ac:dyDescent="0.25">
      <c r="A308" s="140"/>
      <c r="B308" s="141"/>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row>
    <row r="309" spans="1:26" x14ac:dyDescent="0.25">
      <c r="A309" s="140"/>
      <c r="B309" s="141"/>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row>
    <row r="310" spans="1:26" x14ac:dyDescent="0.25">
      <c r="A310" s="140"/>
      <c r="B310" s="141"/>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row>
    <row r="311" spans="1:26" x14ac:dyDescent="0.25">
      <c r="A311" s="140"/>
      <c r="B311" s="141"/>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row>
    <row r="312" spans="1:26" x14ac:dyDescent="0.25">
      <c r="A312" s="140"/>
      <c r="B312" s="141"/>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row>
    <row r="313" spans="1:26" x14ac:dyDescent="0.25">
      <c r="A313" s="140"/>
      <c r="B313" s="141"/>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row>
    <row r="314" spans="1:26" x14ac:dyDescent="0.25">
      <c r="A314" s="140"/>
      <c r="B314" s="141"/>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row>
    <row r="315" spans="1:26" x14ac:dyDescent="0.25">
      <c r="A315" s="140"/>
      <c r="B315" s="141"/>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row>
    <row r="316" spans="1:26" x14ac:dyDescent="0.25">
      <c r="A316" s="140"/>
      <c r="B316" s="141"/>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row>
    <row r="317" spans="1:26" x14ac:dyDescent="0.25">
      <c r="A317" s="140"/>
      <c r="B317" s="141"/>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row>
    <row r="318" spans="1:26" x14ac:dyDescent="0.25">
      <c r="A318" s="140"/>
      <c r="B318" s="141"/>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row>
    <row r="319" spans="1:26" x14ac:dyDescent="0.25">
      <c r="A319" s="140"/>
      <c r="B319" s="141"/>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row>
    <row r="320" spans="1:26" x14ac:dyDescent="0.25">
      <c r="A320" s="140"/>
      <c r="B320" s="141"/>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row>
    <row r="321" spans="1:26" x14ac:dyDescent="0.25">
      <c r="A321" s="140"/>
      <c r="B321" s="141"/>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row>
    <row r="322" spans="1:26" x14ac:dyDescent="0.25">
      <c r="A322" s="140"/>
      <c r="B322" s="141"/>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row>
    <row r="323" spans="1:26" x14ac:dyDescent="0.25">
      <c r="A323" s="140"/>
      <c r="B323" s="141"/>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row>
    <row r="324" spans="1:26" x14ac:dyDescent="0.25">
      <c r="A324" s="140"/>
      <c r="B324" s="141"/>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row>
    <row r="325" spans="1:26" x14ac:dyDescent="0.25">
      <c r="A325" s="140"/>
      <c r="B325" s="141"/>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row>
    <row r="326" spans="1:26" x14ac:dyDescent="0.25">
      <c r="A326" s="140"/>
      <c r="B326" s="141"/>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row>
    <row r="327" spans="1:26" x14ac:dyDescent="0.25">
      <c r="A327" s="140"/>
      <c r="B327" s="141"/>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row>
    <row r="328" spans="1:26" x14ac:dyDescent="0.25">
      <c r="A328" s="140"/>
      <c r="B328" s="141"/>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row>
    <row r="329" spans="1:26" x14ac:dyDescent="0.25">
      <c r="A329" s="140"/>
      <c r="B329" s="141"/>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row>
    <row r="330" spans="1:26" x14ac:dyDescent="0.25">
      <c r="A330" s="140"/>
      <c r="B330" s="141"/>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row>
    <row r="331" spans="1:26" x14ac:dyDescent="0.25">
      <c r="A331" s="140"/>
      <c r="B331" s="141"/>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row>
    <row r="332" spans="1:26" x14ac:dyDescent="0.25">
      <c r="A332" s="140"/>
      <c r="B332" s="141"/>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row>
    <row r="333" spans="1:26" x14ac:dyDescent="0.25">
      <c r="A333" s="140"/>
      <c r="B333" s="141"/>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row>
    <row r="334" spans="1:26" x14ac:dyDescent="0.25">
      <c r="A334" s="140"/>
      <c r="B334" s="141"/>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row>
    <row r="335" spans="1:26" x14ac:dyDescent="0.25">
      <c r="A335" s="140"/>
      <c r="B335" s="141"/>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row>
    <row r="336" spans="1:26" x14ac:dyDescent="0.25">
      <c r="A336" s="140"/>
      <c r="B336" s="141"/>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row>
    <row r="337" spans="1:26" x14ac:dyDescent="0.25">
      <c r="A337" s="140"/>
      <c r="B337" s="141"/>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row>
    <row r="338" spans="1:26" x14ac:dyDescent="0.25">
      <c r="A338" s="140"/>
      <c r="B338" s="141"/>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row>
    <row r="339" spans="1:26" x14ac:dyDescent="0.25">
      <c r="A339" s="140"/>
      <c r="B339" s="141"/>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row>
    <row r="340" spans="1:26" x14ac:dyDescent="0.25">
      <c r="A340" s="140"/>
      <c r="B340" s="141"/>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row>
    <row r="341" spans="1:26" x14ac:dyDescent="0.25">
      <c r="A341" s="140"/>
      <c r="B341" s="141"/>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row>
    <row r="342" spans="1:26" x14ac:dyDescent="0.25">
      <c r="A342" s="140"/>
      <c r="B342" s="141"/>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row>
    <row r="343" spans="1:26" x14ac:dyDescent="0.25">
      <c r="A343" s="140"/>
      <c r="B343" s="141"/>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row>
    <row r="344" spans="1:26" x14ac:dyDescent="0.25">
      <c r="A344" s="140"/>
      <c r="B344" s="141"/>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row>
    <row r="345" spans="1:26" x14ac:dyDescent="0.25">
      <c r="A345" s="140"/>
      <c r="B345" s="141"/>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row>
    <row r="346" spans="1:26" x14ac:dyDescent="0.25">
      <c r="A346" s="140"/>
      <c r="B346" s="141"/>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row>
    <row r="347" spans="1:26" x14ac:dyDescent="0.25">
      <c r="A347" s="140"/>
      <c r="B347" s="141"/>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row>
    <row r="348" spans="1:26" x14ac:dyDescent="0.25">
      <c r="A348" s="140"/>
      <c r="B348" s="141"/>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row>
    <row r="349" spans="1:26" x14ac:dyDescent="0.25">
      <c r="A349" s="140"/>
      <c r="B349" s="141"/>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row>
    <row r="350" spans="1:26" x14ac:dyDescent="0.25">
      <c r="A350" s="140"/>
      <c r="B350" s="141"/>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row>
    <row r="351" spans="1:26" x14ac:dyDescent="0.25">
      <c r="A351" s="140"/>
      <c r="B351" s="141"/>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row>
    <row r="352" spans="1:26" x14ac:dyDescent="0.25">
      <c r="A352" s="140"/>
      <c r="B352" s="141"/>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row>
    <row r="353" spans="1:26" x14ac:dyDescent="0.25">
      <c r="A353" s="140"/>
      <c r="B353" s="141"/>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row>
    <row r="354" spans="1:26" x14ac:dyDescent="0.25">
      <c r="A354" s="140"/>
      <c r="B354" s="141"/>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row>
    <row r="355" spans="1:26" x14ac:dyDescent="0.25">
      <c r="A355" s="140"/>
      <c r="B355" s="141"/>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row>
    <row r="356" spans="1:26" x14ac:dyDescent="0.25">
      <c r="A356" s="140"/>
      <c r="B356" s="141"/>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row>
    <row r="357" spans="1:26" x14ac:dyDescent="0.25">
      <c r="A357" s="140"/>
      <c r="B357" s="141"/>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row>
    <row r="358" spans="1:26" x14ac:dyDescent="0.25">
      <c r="A358" s="140"/>
      <c r="B358" s="141"/>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row>
    <row r="359" spans="1:26" x14ac:dyDescent="0.25">
      <c r="A359" s="140"/>
      <c r="B359" s="141"/>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row>
    <row r="360" spans="1:26" x14ac:dyDescent="0.25">
      <c r="A360" s="140"/>
      <c r="B360" s="141"/>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row>
    <row r="361" spans="1:26" x14ac:dyDescent="0.25">
      <c r="A361" s="140"/>
      <c r="B361" s="141"/>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row>
    <row r="362" spans="1:26" x14ac:dyDescent="0.25">
      <c r="A362" s="140"/>
      <c r="B362" s="141"/>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row>
    <row r="363" spans="1:26" x14ac:dyDescent="0.25">
      <c r="A363" s="140"/>
      <c r="B363" s="141"/>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row>
    <row r="364" spans="1:26" x14ac:dyDescent="0.25">
      <c r="A364" s="140"/>
      <c r="B364" s="141"/>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row>
    <row r="365" spans="1:26" x14ac:dyDescent="0.25">
      <c r="A365" s="140"/>
      <c r="B365" s="141"/>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row>
    <row r="366" spans="1:26" x14ac:dyDescent="0.25">
      <c r="A366" s="140"/>
      <c r="B366" s="141"/>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row>
    <row r="367" spans="1:26" x14ac:dyDescent="0.25">
      <c r="A367" s="140"/>
      <c r="B367" s="141"/>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row>
    <row r="368" spans="1:26" x14ac:dyDescent="0.25">
      <c r="A368" s="140"/>
      <c r="B368" s="141"/>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row>
    <row r="369" spans="1:26" x14ac:dyDescent="0.25">
      <c r="A369" s="140"/>
      <c r="B369" s="141"/>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row>
    <row r="370" spans="1:26" x14ac:dyDescent="0.25">
      <c r="A370" s="140"/>
      <c r="B370" s="141"/>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row>
    <row r="371" spans="1:26" x14ac:dyDescent="0.25">
      <c r="A371" s="140"/>
      <c r="B371" s="141"/>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row>
    <row r="372" spans="1:26" x14ac:dyDescent="0.25">
      <c r="A372" s="140"/>
      <c r="B372" s="141"/>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row>
    <row r="373" spans="1:26" x14ac:dyDescent="0.25">
      <c r="A373" s="140"/>
      <c r="B373" s="141"/>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row>
    <row r="374" spans="1:26" x14ac:dyDescent="0.25">
      <c r="A374" s="140"/>
      <c r="B374" s="141"/>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row>
    <row r="375" spans="1:26" x14ac:dyDescent="0.25">
      <c r="A375" s="140"/>
      <c r="B375" s="141"/>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row>
    <row r="376" spans="1:26" x14ac:dyDescent="0.25">
      <c r="A376" s="140"/>
      <c r="B376" s="141"/>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row>
    <row r="377" spans="1:26" x14ac:dyDescent="0.25">
      <c r="A377" s="140"/>
      <c r="B377" s="141"/>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row>
    <row r="378" spans="1:26" x14ac:dyDescent="0.25">
      <c r="A378" s="140"/>
      <c r="B378" s="141"/>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row>
    <row r="379" spans="1:26" x14ac:dyDescent="0.25">
      <c r="A379" s="140"/>
      <c r="B379" s="141"/>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row>
    <row r="380" spans="1:26" x14ac:dyDescent="0.25">
      <c r="A380" s="140"/>
      <c r="B380" s="141"/>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row>
    <row r="381" spans="1:26" x14ac:dyDescent="0.25">
      <c r="A381" s="140"/>
      <c r="B381" s="141"/>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row>
    <row r="382" spans="1:26" x14ac:dyDescent="0.25">
      <c r="A382" s="140"/>
      <c r="B382" s="141"/>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row>
    <row r="383" spans="1:26" x14ac:dyDescent="0.25">
      <c r="A383" s="140"/>
      <c r="B383" s="141"/>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row>
    <row r="384" spans="1:26" x14ac:dyDescent="0.25">
      <c r="A384" s="140"/>
      <c r="B384" s="141"/>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row>
    <row r="385" spans="1:26" x14ac:dyDescent="0.25">
      <c r="A385" s="140"/>
      <c r="B385" s="141"/>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row>
    <row r="386" spans="1:26" x14ac:dyDescent="0.25">
      <c r="A386" s="140"/>
      <c r="B386" s="141"/>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row>
    <row r="387" spans="1:26" x14ac:dyDescent="0.25">
      <c r="A387" s="140"/>
      <c r="B387" s="141"/>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row>
    <row r="388" spans="1:26" x14ac:dyDescent="0.25">
      <c r="A388" s="140"/>
      <c r="B388" s="141"/>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row>
    <row r="389" spans="1:26" x14ac:dyDescent="0.25">
      <c r="A389" s="140"/>
      <c r="B389" s="141"/>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row>
    <row r="390" spans="1:26" x14ac:dyDescent="0.25">
      <c r="A390" s="140"/>
      <c r="B390" s="141"/>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row>
    <row r="391" spans="1:26" x14ac:dyDescent="0.25">
      <c r="A391" s="140"/>
      <c r="B391" s="141"/>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row>
    <row r="392" spans="1:26" x14ac:dyDescent="0.25">
      <c r="A392" s="140"/>
      <c r="B392" s="141"/>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row>
    <row r="393" spans="1:26" x14ac:dyDescent="0.25">
      <c r="A393" s="140"/>
      <c r="B393" s="141"/>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row>
    <row r="394" spans="1:26" x14ac:dyDescent="0.25">
      <c r="A394" s="140"/>
      <c r="B394" s="141"/>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row>
    <row r="395" spans="1:26" x14ac:dyDescent="0.25">
      <c r="A395" s="140"/>
      <c r="B395" s="141"/>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row>
    <row r="396" spans="1:26" x14ac:dyDescent="0.25">
      <c r="A396" s="140"/>
      <c r="B396" s="141"/>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row>
    <row r="397" spans="1:26" x14ac:dyDescent="0.25">
      <c r="A397" s="140"/>
      <c r="B397" s="141"/>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row>
    <row r="398" spans="1:26" x14ac:dyDescent="0.25">
      <c r="A398" s="140"/>
      <c r="B398" s="141"/>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row>
    <row r="399" spans="1:26" x14ac:dyDescent="0.25">
      <c r="A399" s="140"/>
      <c r="B399" s="141"/>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row>
    <row r="400" spans="1:26" x14ac:dyDescent="0.25">
      <c r="A400" s="140"/>
      <c r="B400" s="141"/>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row>
    <row r="401" spans="1:26" x14ac:dyDescent="0.25">
      <c r="A401" s="140"/>
      <c r="B401" s="141"/>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row>
    <row r="402" spans="1:26" x14ac:dyDescent="0.25">
      <c r="A402" s="140"/>
      <c r="B402" s="141"/>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row>
    <row r="403" spans="1:26" x14ac:dyDescent="0.25">
      <c r="A403" s="140"/>
      <c r="B403" s="141"/>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row>
    <row r="404" spans="1:26" x14ac:dyDescent="0.25">
      <c r="A404" s="140"/>
      <c r="B404" s="141"/>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row>
    <row r="405" spans="1:26" x14ac:dyDescent="0.25">
      <c r="A405" s="140"/>
      <c r="B405" s="141"/>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row>
    <row r="406" spans="1:26" x14ac:dyDescent="0.25">
      <c r="A406" s="140"/>
      <c r="B406" s="141"/>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row>
    <row r="407" spans="1:26" x14ac:dyDescent="0.25">
      <c r="A407" s="140"/>
      <c r="B407" s="141"/>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row>
    <row r="408" spans="1:26" x14ac:dyDescent="0.25">
      <c r="A408" s="140"/>
      <c r="B408" s="141"/>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row>
    <row r="409" spans="1:26" x14ac:dyDescent="0.25">
      <c r="A409" s="140"/>
      <c r="B409" s="141"/>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row>
    <row r="410" spans="1:26" x14ac:dyDescent="0.25">
      <c r="A410" s="140"/>
      <c r="B410" s="141"/>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row>
    <row r="411" spans="1:26" x14ac:dyDescent="0.25">
      <c r="A411" s="140"/>
      <c r="B411" s="141"/>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row>
    <row r="412" spans="1:26" x14ac:dyDescent="0.25">
      <c r="A412" s="140"/>
      <c r="B412" s="141"/>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row>
    <row r="413" spans="1:26" x14ac:dyDescent="0.25">
      <c r="A413" s="140"/>
      <c r="B413" s="141"/>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row>
    <row r="414" spans="1:26" x14ac:dyDescent="0.25">
      <c r="A414" s="140"/>
      <c r="B414" s="141"/>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row>
    <row r="415" spans="1:26" x14ac:dyDescent="0.25">
      <c r="A415" s="140"/>
      <c r="B415" s="141"/>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row>
    <row r="416" spans="1:26" x14ac:dyDescent="0.25">
      <c r="A416" s="140"/>
      <c r="B416" s="141"/>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row>
    <row r="417" spans="1:26" x14ac:dyDescent="0.25">
      <c r="A417" s="140"/>
      <c r="B417" s="141"/>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row>
    <row r="418" spans="1:26" x14ac:dyDescent="0.25">
      <c r="A418" s="140"/>
      <c r="B418" s="141"/>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row>
    <row r="419" spans="1:26" x14ac:dyDescent="0.25">
      <c r="A419" s="140"/>
      <c r="B419" s="141"/>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row>
    <row r="420" spans="1:26" x14ac:dyDescent="0.25">
      <c r="A420" s="140"/>
      <c r="B420" s="141"/>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row>
    <row r="421" spans="1:26" x14ac:dyDescent="0.25">
      <c r="A421" s="140"/>
      <c r="B421" s="141"/>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row>
    <row r="422" spans="1:26" x14ac:dyDescent="0.25">
      <c r="A422" s="140"/>
      <c r="B422" s="141"/>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row>
    <row r="423" spans="1:26" x14ac:dyDescent="0.25">
      <c r="A423" s="140"/>
      <c r="B423" s="141"/>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row>
    <row r="424" spans="1:26" x14ac:dyDescent="0.25">
      <c r="A424" s="140"/>
      <c r="B424" s="141"/>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row>
    <row r="425" spans="1:26" x14ac:dyDescent="0.25">
      <c r="A425" s="140"/>
      <c r="B425" s="141"/>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row>
    <row r="426" spans="1:26" x14ac:dyDescent="0.25">
      <c r="A426" s="140"/>
      <c r="B426" s="141"/>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row>
    <row r="427" spans="1:26" x14ac:dyDescent="0.25">
      <c r="A427" s="140"/>
      <c r="B427" s="141"/>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row>
    <row r="428" spans="1:26" x14ac:dyDescent="0.25">
      <c r="A428" s="140"/>
      <c r="B428" s="141"/>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row>
    <row r="429" spans="1:26" x14ac:dyDescent="0.25">
      <c r="A429" s="140"/>
      <c r="B429" s="141"/>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row>
    <row r="430" spans="1:26" x14ac:dyDescent="0.25">
      <c r="A430" s="140"/>
      <c r="B430" s="141"/>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row>
    <row r="431" spans="1:26" x14ac:dyDescent="0.25">
      <c r="A431" s="140"/>
      <c r="B431" s="141"/>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row>
    <row r="432" spans="1:26" x14ac:dyDescent="0.25">
      <c r="A432" s="140"/>
      <c r="B432" s="141"/>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row>
    <row r="433" spans="1:26" x14ac:dyDescent="0.25">
      <c r="A433" s="140"/>
      <c r="B433" s="141"/>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row>
    <row r="434" spans="1:26" x14ac:dyDescent="0.25">
      <c r="A434" s="140"/>
      <c r="B434" s="141"/>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row>
    <row r="435" spans="1:26" x14ac:dyDescent="0.25">
      <c r="A435" s="140"/>
      <c r="B435" s="141"/>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row>
    <row r="436" spans="1:26" x14ac:dyDescent="0.25">
      <c r="A436" s="140"/>
      <c r="B436" s="141"/>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row>
    <row r="437" spans="1:26" x14ac:dyDescent="0.25">
      <c r="A437" s="140"/>
      <c r="B437" s="141"/>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row>
    <row r="438" spans="1:26" x14ac:dyDescent="0.25">
      <c r="A438" s="140"/>
      <c r="B438" s="141"/>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row>
    <row r="439" spans="1:26" x14ac:dyDescent="0.25">
      <c r="A439" s="140"/>
      <c r="B439" s="141"/>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row>
    <row r="440" spans="1:26" x14ac:dyDescent="0.25">
      <c r="A440" s="140"/>
      <c r="B440" s="141"/>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row>
    <row r="441" spans="1:26" x14ac:dyDescent="0.25">
      <c r="A441" s="140"/>
      <c r="B441" s="141"/>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row>
    <row r="442" spans="1:26" x14ac:dyDescent="0.25">
      <c r="A442" s="140"/>
      <c r="B442" s="141"/>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row>
    <row r="443" spans="1:26" x14ac:dyDescent="0.25">
      <c r="A443" s="140"/>
      <c r="B443" s="141"/>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row>
    <row r="444" spans="1:26" x14ac:dyDescent="0.25">
      <c r="A444" s="140"/>
      <c r="B444" s="141"/>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row>
    <row r="445" spans="1:26" x14ac:dyDescent="0.25">
      <c r="A445" s="140"/>
      <c r="B445" s="141"/>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row>
    <row r="446" spans="1:26" x14ac:dyDescent="0.25">
      <c r="A446" s="140"/>
      <c r="B446" s="141"/>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row>
    <row r="447" spans="1:26" x14ac:dyDescent="0.25">
      <c r="A447" s="140"/>
      <c r="B447" s="141"/>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row>
    <row r="448" spans="1:26" x14ac:dyDescent="0.25">
      <c r="A448" s="140"/>
      <c r="B448" s="141"/>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row>
    <row r="449" spans="1:26" x14ac:dyDescent="0.25">
      <c r="A449" s="140"/>
      <c r="B449" s="141"/>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row>
    <row r="450" spans="1:26" x14ac:dyDescent="0.25">
      <c r="A450" s="140"/>
      <c r="B450" s="141"/>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row>
    <row r="451" spans="1:26" x14ac:dyDescent="0.25">
      <c r="A451" s="140"/>
      <c r="B451" s="141"/>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row>
    <row r="452" spans="1:26" x14ac:dyDescent="0.25">
      <c r="A452" s="140"/>
      <c r="B452" s="141"/>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row>
    <row r="453" spans="1:26" x14ac:dyDescent="0.25">
      <c r="A453" s="140"/>
      <c r="B453" s="141"/>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row>
    <row r="454" spans="1:26" x14ac:dyDescent="0.25">
      <c r="A454" s="140"/>
      <c r="B454" s="141"/>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row>
    <row r="455" spans="1:26" x14ac:dyDescent="0.25">
      <c r="A455" s="140"/>
      <c r="B455" s="141"/>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row>
    <row r="456" spans="1:26" x14ac:dyDescent="0.25">
      <c r="A456" s="140"/>
      <c r="B456" s="141"/>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row>
    <row r="457" spans="1:26" x14ac:dyDescent="0.25">
      <c r="A457" s="140"/>
      <c r="B457" s="141"/>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row>
    <row r="458" spans="1:26" x14ac:dyDescent="0.25">
      <c r="A458" s="140"/>
      <c r="B458" s="141"/>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row>
    <row r="459" spans="1:26" x14ac:dyDescent="0.25">
      <c r="A459" s="140"/>
      <c r="B459" s="141"/>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row>
    <row r="460" spans="1:26" x14ac:dyDescent="0.25">
      <c r="A460" s="140"/>
      <c r="B460" s="141"/>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row>
    <row r="461" spans="1:26" x14ac:dyDescent="0.25">
      <c r="A461" s="140"/>
      <c r="B461" s="141"/>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row>
    <row r="462" spans="1:26" x14ac:dyDescent="0.25">
      <c r="A462" s="140"/>
      <c r="B462" s="141"/>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row>
    <row r="463" spans="1:26" x14ac:dyDescent="0.25">
      <c r="A463" s="140"/>
      <c r="B463" s="141"/>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row>
    <row r="464" spans="1:26" x14ac:dyDescent="0.25">
      <c r="A464" s="140"/>
      <c r="B464" s="141"/>
      <c r="C464" s="140"/>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row>
    <row r="465" spans="1:26" x14ac:dyDescent="0.25">
      <c r="A465" s="140"/>
      <c r="B465" s="141"/>
      <c r="C465" s="140"/>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row>
    <row r="466" spans="1:26" x14ac:dyDescent="0.25">
      <c r="A466" s="140"/>
      <c r="B466" s="141"/>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row>
    <row r="467" spans="1:26" x14ac:dyDescent="0.25">
      <c r="A467" s="140"/>
      <c r="B467" s="141"/>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row>
    <row r="468" spans="1:26" x14ac:dyDescent="0.25">
      <c r="A468" s="140"/>
      <c r="B468" s="141"/>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row>
    <row r="469" spans="1:26" x14ac:dyDescent="0.25">
      <c r="A469" s="140"/>
      <c r="B469" s="141"/>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row>
    <row r="470" spans="1:26" x14ac:dyDescent="0.25">
      <c r="A470" s="140"/>
      <c r="B470" s="141"/>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row>
    <row r="471" spans="1:26" x14ac:dyDescent="0.25">
      <c r="A471" s="140"/>
      <c r="B471" s="141"/>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row>
    <row r="472" spans="1:26" x14ac:dyDescent="0.25">
      <c r="A472" s="140"/>
      <c r="B472" s="141"/>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row>
    <row r="473" spans="1:26" x14ac:dyDescent="0.25">
      <c r="A473" s="140"/>
      <c r="B473" s="141"/>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row>
    <row r="474" spans="1:26" x14ac:dyDescent="0.25">
      <c r="A474" s="140"/>
      <c r="B474" s="141"/>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row>
    <row r="475" spans="1:26" x14ac:dyDescent="0.25">
      <c r="A475" s="140"/>
      <c r="B475" s="141"/>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row>
    <row r="476" spans="1:26" x14ac:dyDescent="0.25">
      <c r="A476" s="140"/>
      <c r="B476" s="141"/>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row>
    <row r="477" spans="1:26" x14ac:dyDescent="0.25">
      <c r="A477" s="140"/>
      <c r="B477" s="141"/>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row>
    <row r="478" spans="1:26" x14ac:dyDescent="0.25">
      <c r="A478" s="140"/>
      <c r="B478" s="141"/>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row>
    <row r="479" spans="1:26" x14ac:dyDescent="0.25">
      <c r="A479" s="140"/>
      <c r="B479" s="141"/>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row>
    <row r="480" spans="1:26" x14ac:dyDescent="0.25">
      <c r="A480" s="140"/>
      <c r="B480" s="141"/>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row>
    <row r="481" spans="1:26" x14ac:dyDescent="0.25">
      <c r="A481" s="140"/>
      <c r="B481" s="141"/>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row>
    <row r="482" spans="1:26" x14ac:dyDescent="0.25">
      <c r="A482" s="140"/>
      <c r="B482" s="141"/>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row>
    <row r="483" spans="1:26" x14ac:dyDescent="0.25">
      <c r="A483" s="140"/>
      <c r="B483" s="141"/>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row>
    <row r="484" spans="1:26" x14ac:dyDescent="0.25">
      <c r="A484" s="140"/>
      <c r="B484" s="141"/>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row>
    <row r="485" spans="1:26" x14ac:dyDescent="0.25">
      <c r="A485" s="140"/>
      <c r="B485" s="141"/>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row>
    <row r="486" spans="1:26" x14ac:dyDescent="0.25">
      <c r="A486" s="140"/>
      <c r="B486" s="141"/>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row>
    <row r="487" spans="1:26" x14ac:dyDescent="0.25">
      <c r="A487" s="140"/>
      <c r="B487" s="141"/>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row>
    <row r="488" spans="1:26" x14ac:dyDescent="0.25">
      <c r="A488" s="140"/>
      <c r="B488" s="141"/>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row>
    <row r="489" spans="1:26" x14ac:dyDescent="0.25">
      <c r="A489" s="140"/>
      <c r="B489" s="141"/>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row>
    <row r="490" spans="1:26" x14ac:dyDescent="0.25">
      <c r="A490" s="140"/>
      <c r="B490" s="141"/>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row>
    <row r="491" spans="1:26" x14ac:dyDescent="0.25">
      <c r="A491" s="140"/>
      <c r="B491" s="141"/>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row>
    <row r="492" spans="1:26" x14ac:dyDescent="0.25">
      <c r="A492" s="140"/>
      <c r="B492" s="141"/>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row>
    <row r="493" spans="1:26" x14ac:dyDescent="0.25">
      <c r="A493" s="140"/>
      <c r="B493" s="141"/>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row>
    <row r="494" spans="1:26" x14ac:dyDescent="0.25">
      <c r="A494" s="140"/>
      <c r="B494" s="141"/>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row>
    <row r="495" spans="1:26" x14ac:dyDescent="0.25">
      <c r="A495" s="140"/>
      <c r="B495" s="141"/>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row>
    <row r="496" spans="1:26" x14ac:dyDescent="0.25">
      <c r="A496" s="140"/>
      <c r="B496" s="141"/>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row>
    <row r="497" spans="1:26" x14ac:dyDescent="0.25">
      <c r="A497" s="140"/>
      <c r="B497" s="141"/>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row>
    <row r="498" spans="1:26" x14ac:dyDescent="0.25">
      <c r="A498" s="140"/>
      <c r="B498" s="141"/>
      <c r="C498" s="140"/>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row>
    <row r="499" spans="1:26" x14ac:dyDescent="0.25">
      <c r="A499" s="140"/>
      <c r="B499" s="141"/>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row>
    <row r="500" spans="1:26" x14ac:dyDescent="0.25">
      <c r="A500" s="140"/>
      <c r="B500" s="141"/>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row>
    <row r="501" spans="1:26" x14ac:dyDescent="0.25">
      <c r="A501" s="140"/>
      <c r="B501" s="141"/>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row>
    <row r="502" spans="1:26" x14ac:dyDescent="0.25">
      <c r="A502" s="140"/>
      <c r="B502" s="141"/>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row>
    <row r="503" spans="1:26" x14ac:dyDescent="0.25">
      <c r="A503" s="140"/>
      <c r="B503" s="141"/>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row>
    <row r="504" spans="1:26" x14ac:dyDescent="0.25">
      <c r="A504" s="140"/>
      <c r="B504" s="141"/>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row>
    <row r="505" spans="1:26" x14ac:dyDescent="0.25">
      <c r="A505" s="140"/>
      <c r="B505" s="141"/>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row>
    <row r="506" spans="1:26" x14ac:dyDescent="0.25">
      <c r="A506" s="140"/>
      <c r="B506" s="141"/>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row>
    <row r="507" spans="1:26" x14ac:dyDescent="0.25">
      <c r="A507" s="140"/>
      <c r="B507" s="141"/>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row>
    <row r="508" spans="1:26" x14ac:dyDescent="0.25">
      <c r="A508" s="140"/>
      <c r="B508" s="141"/>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row>
    <row r="509" spans="1:26" x14ac:dyDescent="0.25">
      <c r="A509" s="140"/>
      <c r="B509" s="141"/>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row>
    <row r="510" spans="1:26" x14ac:dyDescent="0.25">
      <c r="A510" s="140"/>
      <c r="B510" s="141"/>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row>
    <row r="511" spans="1:26" x14ac:dyDescent="0.25">
      <c r="A511" s="140"/>
      <c r="B511" s="141"/>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row>
    <row r="512" spans="1:26" x14ac:dyDescent="0.25">
      <c r="A512" s="140"/>
      <c r="B512" s="141"/>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row>
    <row r="513" spans="1:26" x14ac:dyDescent="0.25">
      <c r="A513" s="140"/>
      <c r="B513" s="141"/>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row>
    <row r="514" spans="1:26" x14ac:dyDescent="0.25">
      <c r="A514" s="140"/>
      <c r="B514" s="141"/>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row>
    <row r="515" spans="1:26" x14ac:dyDescent="0.25">
      <c r="A515" s="140"/>
      <c r="B515" s="141"/>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row>
    <row r="516" spans="1:26" x14ac:dyDescent="0.25">
      <c r="A516" s="140"/>
      <c r="B516" s="141"/>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row>
    <row r="517" spans="1:26" x14ac:dyDescent="0.25">
      <c r="A517" s="140"/>
      <c r="B517" s="141"/>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row>
    <row r="518" spans="1:26" x14ac:dyDescent="0.25">
      <c r="A518" s="140"/>
      <c r="B518" s="141"/>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row>
    <row r="519" spans="1:26" x14ac:dyDescent="0.25">
      <c r="A519" s="140"/>
      <c r="B519" s="141"/>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row>
    <row r="520" spans="1:26" x14ac:dyDescent="0.25">
      <c r="A520" s="140"/>
      <c r="B520" s="141"/>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row>
    <row r="521" spans="1:26" x14ac:dyDescent="0.25">
      <c r="A521" s="140"/>
      <c r="B521" s="141"/>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row>
    <row r="522" spans="1:26" x14ac:dyDescent="0.25">
      <c r="A522" s="140"/>
      <c r="B522" s="141"/>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row>
    <row r="523" spans="1:26" x14ac:dyDescent="0.25">
      <c r="A523" s="140"/>
      <c r="B523" s="141"/>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row>
    <row r="524" spans="1:26" x14ac:dyDescent="0.25">
      <c r="A524" s="140"/>
      <c r="B524" s="141"/>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row>
    <row r="525" spans="1:26" x14ac:dyDescent="0.25">
      <c r="A525" s="140"/>
      <c r="B525" s="141"/>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row>
    <row r="526" spans="1:26" x14ac:dyDescent="0.25">
      <c r="A526" s="140"/>
      <c r="B526" s="141"/>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row>
    <row r="527" spans="1:26" x14ac:dyDescent="0.25">
      <c r="A527" s="140"/>
      <c r="B527" s="141"/>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row>
    <row r="528" spans="1:26" x14ac:dyDescent="0.25">
      <c r="A528" s="140"/>
      <c r="B528" s="141"/>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row>
    <row r="529" spans="1:26" x14ac:dyDescent="0.25">
      <c r="A529" s="140"/>
      <c r="B529" s="141"/>
      <c r="C529" s="140"/>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row>
    <row r="530" spans="1:26" x14ac:dyDescent="0.25">
      <c r="A530" s="140"/>
      <c r="B530" s="141"/>
      <c r="C530" s="140"/>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row>
    <row r="531" spans="1:26" x14ac:dyDescent="0.25">
      <c r="A531" s="140"/>
      <c r="B531" s="141"/>
      <c r="C531" s="140"/>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row>
    <row r="532" spans="1:26" x14ac:dyDescent="0.25">
      <c r="A532" s="140"/>
      <c r="B532" s="141"/>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row>
    <row r="533" spans="1:26" x14ac:dyDescent="0.25">
      <c r="A533" s="140"/>
      <c r="B533" s="141"/>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row>
    <row r="534" spans="1:26" x14ac:dyDescent="0.25">
      <c r="A534" s="140"/>
      <c r="B534" s="141"/>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row>
    <row r="535" spans="1:26" x14ac:dyDescent="0.25">
      <c r="A535" s="140"/>
      <c r="B535" s="141"/>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row>
    <row r="536" spans="1:26" x14ac:dyDescent="0.25">
      <c r="A536" s="140"/>
      <c r="B536" s="141"/>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row>
    <row r="537" spans="1:26" x14ac:dyDescent="0.25">
      <c r="A537" s="140"/>
      <c r="B537" s="141"/>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row>
    <row r="538" spans="1:26" x14ac:dyDescent="0.25">
      <c r="A538" s="140"/>
      <c r="B538" s="141"/>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row>
    <row r="539" spans="1:26" x14ac:dyDescent="0.25">
      <c r="A539" s="140"/>
      <c r="B539" s="141"/>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row>
    <row r="540" spans="1:26" x14ac:dyDescent="0.25">
      <c r="A540" s="140"/>
      <c r="B540" s="141"/>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row>
    <row r="541" spans="1:26" x14ac:dyDescent="0.25">
      <c r="A541" s="140"/>
      <c r="B541" s="141"/>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row>
    <row r="542" spans="1:26" x14ac:dyDescent="0.25">
      <c r="A542" s="140"/>
      <c r="B542" s="141"/>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row>
    <row r="543" spans="1:26" x14ac:dyDescent="0.25">
      <c r="A543" s="140"/>
      <c r="B543" s="141"/>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row>
    <row r="544" spans="1:26" x14ac:dyDescent="0.25">
      <c r="A544" s="140"/>
      <c r="B544" s="141"/>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row>
    <row r="545" spans="1:26" x14ac:dyDescent="0.25">
      <c r="A545" s="140"/>
      <c r="B545" s="141"/>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row>
    <row r="546" spans="1:26" x14ac:dyDescent="0.25">
      <c r="A546" s="140"/>
      <c r="B546" s="141"/>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row>
    <row r="547" spans="1:26" x14ac:dyDescent="0.25">
      <c r="A547" s="140"/>
      <c r="B547" s="141"/>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row>
    <row r="548" spans="1:26" x14ac:dyDescent="0.25">
      <c r="A548" s="140"/>
      <c r="B548" s="141"/>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row>
    <row r="549" spans="1:26" x14ac:dyDescent="0.25">
      <c r="A549" s="140"/>
      <c r="B549" s="141"/>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row>
    <row r="550" spans="1:26" x14ac:dyDescent="0.25">
      <c r="A550" s="140"/>
      <c r="B550" s="141"/>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row>
    <row r="551" spans="1:26" x14ac:dyDescent="0.25">
      <c r="A551" s="140"/>
      <c r="B551" s="141"/>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row>
    <row r="552" spans="1:26" x14ac:dyDescent="0.25">
      <c r="A552" s="140"/>
      <c r="B552" s="141"/>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row>
    <row r="553" spans="1:26" x14ac:dyDescent="0.25">
      <c r="A553" s="140"/>
      <c r="B553" s="141"/>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row>
    <row r="554" spans="1:26" x14ac:dyDescent="0.25">
      <c r="A554" s="140"/>
      <c r="B554" s="141"/>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row>
    <row r="555" spans="1:26" x14ac:dyDescent="0.25">
      <c r="A555" s="140"/>
      <c r="B555" s="141"/>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row>
    <row r="556" spans="1:26" x14ac:dyDescent="0.25">
      <c r="A556" s="140"/>
      <c r="B556" s="141"/>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row>
    <row r="557" spans="1:26" x14ac:dyDescent="0.25">
      <c r="A557" s="140"/>
      <c r="B557" s="141"/>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row>
    <row r="558" spans="1:26" x14ac:dyDescent="0.25">
      <c r="A558" s="140"/>
      <c r="B558" s="141"/>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row>
    <row r="559" spans="1:26" x14ac:dyDescent="0.25">
      <c r="A559" s="140"/>
      <c r="B559" s="141"/>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row>
    <row r="560" spans="1:26" x14ac:dyDescent="0.25">
      <c r="A560" s="140"/>
      <c r="B560" s="141"/>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row>
    <row r="561" spans="1:26" x14ac:dyDescent="0.25">
      <c r="A561" s="140"/>
      <c r="B561" s="141"/>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row>
    <row r="562" spans="1:26" x14ac:dyDescent="0.25">
      <c r="A562" s="140"/>
      <c r="B562" s="141"/>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row>
    <row r="563" spans="1:26" x14ac:dyDescent="0.25">
      <c r="A563" s="140"/>
      <c r="B563" s="141"/>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row>
    <row r="564" spans="1:26" x14ac:dyDescent="0.25">
      <c r="A564" s="140"/>
      <c r="B564" s="141"/>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row>
    <row r="565" spans="1:26" x14ac:dyDescent="0.25">
      <c r="A565" s="140"/>
      <c r="B565" s="141"/>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row>
    <row r="566" spans="1:26" x14ac:dyDescent="0.25">
      <c r="A566" s="140"/>
      <c r="B566" s="141"/>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row>
    <row r="567" spans="1:26" x14ac:dyDescent="0.25">
      <c r="A567" s="140"/>
      <c r="B567" s="141"/>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row>
    <row r="568" spans="1:26" x14ac:dyDescent="0.25">
      <c r="A568" s="140"/>
      <c r="B568" s="141"/>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row>
    <row r="569" spans="1:26" x14ac:dyDescent="0.25">
      <c r="A569" s="140"/>
      <c r="B569" s="141"/>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row>
    <row r="570" spans="1:26" x14ac:dyDescent="0.25">
      <c r="A570" s="140"/>
      <c r="B570" s="141"/>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row>
    <row r="571" spans="1:26" x14ac:dyDescent="0.25">
      <c r="A571" s="140"/>
      <c r="B571" s="141"/>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row>
    <row r="572" spans="1:26" x14ac:dyDescent="0.25">
      <c r="A572" s="140"/>
      <c r="B572" s="141"/>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row>
    <row r="573" spans="1:26" x14ac:dyDescent="0.25">
      <c r="A573" s="140"/>
      <c r="B573" s="141"/>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row>
    <row r="574" spans="1:26" x14ac:dyDescent="0.25">
      <c r="A574" s="140"/>
      <c r="B574" s="141"/>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row>
    <row r="575" spans="1:26" x14ac:dyDescent="0.25">
      <c r="A575" s="140"/>
      <c r="B575" s="141"/>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row>
    <row r="576" spans="1:26" x14ac:dyDescent="0.25">
      <c r="A576" s="140"/>
      <c r="B576" s="141"/>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row>
    <row r="577" spans="1:26" x14ac:dyDescent="0.25">
      <c r="A577" s="140"/>
      <c r="B577" s="141"/>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row>
    <row r="578" spans="1:26" x14ac:dyDescent="0.25">
      <c r="A578" s="140"/>
      <c r="B578" s="141"/>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row>
    <row r="579" spans="1:26" x14ac:dyDescent="0.25">
      <c r="A579" s="140"/>
      <c r="B579" s="141"/>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row>
    <row r="580" spans="1:26" x14ac:dyDescent="0.25">
      <c r="A580" s="140"/>
      <c r="B580" s="141"/>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row>
    <row r="581" spans="1:26" x14ac:dyDescent="0.25">
      <c r="A581" s="140"/>
      <c r="B581" s="141"/>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row>
    <row r="582" spans="1:26" x14ac:dyDescent="0.25">
      <c r="A582" s="140"/>
      <c r="B582" s="141"/>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row>
    <row r="583" spans="1:26" x14ac:dyDescent="0.25">
      <c r="A583" s="140"/>
      <c r="B583" s="141"/>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row>
    <row r="584" spans="1:26" x14ac:dyDescent="0.25">
      <c r="A584" s="140"/>
      <c r="B584" s="141"/>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row>
    <row r="585" spans="1:26" x14ac:dyDescent="0.25">
      <c r="A585" s="140"/>
      <c r="B585" s="141"/>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row>
    <row r="586" spans="1:26" x14ac:dyDescent="0.25">
      <c r="A586" s="140"/>
      <c r="B586" s="141"/>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row>
    <row r="587" spans="1:26" x14ac:dyDescent="0.25">
      <c r="A587" s="140"/>
      <c r="B587" s="141"/>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row>
    <row r="588" spans="1:26" x14ac:dyDescent="0.25">
      <c r="A588" s="140"/>
      <c r="B588" s="141"/>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row>
    <row r="589" spans="1:26" x14ac:dyDescent="0.25">
      <c r="A589" s="140"/>
      <c r="B589" s="141"/>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row>
    <row r="590" spans="1:26" x14ac:dyDescent="0.25">
      <c r="A590" s="140"/>
      <c r="B590" s="141"/>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row>
    <row r="591" spans="1:26" x14ac:dyDescent="0.25">
      <c r="A591" s="140"/>
      <c r="B591" s="141"/>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row>
    <row r="592" spans="1:26" x14ac:dyDescent="0.25">
      <c r="A592" s="140"/>
      <c r="B592" s="141"/>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row>
    <row r="593" spans="1:26" x14ac:dyDescent="0.25">
      <c r="A593" s="140"/>
      <c r="B593" s="141"/>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row>
    <row r="594" spans="1:26" x14ac:dyDescent="0.25">
      <c r="A594" s="140"/>
      <c r="B594" s="141"/>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row>
    <row r="595" spans="1:26" x14ac:dyDescent="0.25">
      <c r="A595" s="140"/>
      <c r="B595" s="141"/>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row>
    <row r="596" spans="1:26" x14ac:dyDescent="0.25">
      <c r="A596" s="140"/>
      <c r="B596" s="141"/>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row>
    <row r="597" spans="1:26" x14ac:dyDescent="0.25">
      <c r="A597" s="140"/>
      <c r="B597" s="141"/>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row>
    <row r="598" spans="1:26" x14ac:dyDescent="0.25">
      <c r="A598" s="140"/>
      <c r="B598" s="141"/>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row>
    <row r="599" spans="1:26" x14ac:dyDescent="0.25">
      <c r="A599" s="140"/>
      <c r="B599" s="141"/>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row>
    <row r="600" spans="1:26" x14ac:dyDescent="0.25">
      <c r="A600" s="140"/>
      <c r="B600" s="141"/>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row>
    <row r="601" spans="1:26" x14ac:dyDescent="0.25">
      <c r="A601" s="140"/>
      <c r="B601" s="141"/>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row>
    <row r="602" spans="1:26" x14ac:dyDescent="0.25">
      <c r="A602" s="140"/>
      <c r="B602" s="141"/>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row>
    <row r="603" spans="1:26" x14ac:dyDescent="0.25">
      <c r="A603" s="140"/>
      <c r="B603" s="141"/>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row>
    <row r="604" spans="1:26" x14ac:dyDescent="0.25">
      <c r="A604" s="140"/>
      <c r="B604" s="141"/>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row>
    <row r="605" spans="1:26" x14ac:dyDescent="0.25">
      <c r="A605" s="140"/>
      <c r="B605" s="141"/>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row>
    <row r="606" spans="1:26" x14ac:dyDescent="0.25">
      <c r="A606" s="140"/>
      <c r="B606" s="141"/>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row>
    <row r="607" spans="1:26" x14ac:dyDescent="0.25">
      <c r="A607" s="140"/>
      <c r="B607" s="141"/>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row>
    <row r="608" spans="1:26" x14ac:dyDescent="0.25">
      <c r="A608" s="140"/>
      <c r="B608" s="141"/>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row>
    <row r="609" spans="1:26" x14ac:dyDescent="0.25">
      <c r="A609" s="140"/>
      <c r="B609" s="141"/>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row>
    <row r="610" spans="1:26" x14ac:dyDescent="0.25">
      <c r="A610" s="140"/>
      <c r="B610" s="141"/>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row>
    <row r="611" spans="1:26" x14ac:dyDescent="0.25">
      <c r="A611" s="140"/>
      <c r="B611" s="141"/>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row>
    <row r="612" spans="1:26" x14ac:dyDescent="0.25">
      <c r="A612" s="140"/>
      <c r="B612" s="141"/>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row>
    <row r="613" spans="1:26" x14ac:dyDescent="0.25">
      <c r="A613" s="140"/>
      <c r="B613" s="141"/>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row>
    <row r="614" spans="1:26" x14ac:dyDescent="0.25">
      <c r="A614" s="140"/>
      <c r="B614" s="141"/>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row>
    <row r="615" spans="1:26" x14ac:dyDescent="0.25">
      <c r="A615" s="140"/>
      <c r="B615" s="141"/>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row>
    <row r="616" spans="1:26" x14ac:dyDescent="0.25">
      <c r="A616" s="140"/>
      <c r="B616" s="141"/>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row>
    <row r="617" spans="1:26" x14ac:dyDescent="0.25">
      <c r="A617" s="140"/>
      <c r="B617" s="141"/>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row>
    <row r="618" spans="1:26" x14ac:dyDescent="0.25">
      <c r="A618" s="140"/>
      <c r="B618" s="141"/>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row>
    <row r="619" spans="1:26" x14ac:dyDescent="0.25">
      <c r="A619" s="140"/>
      <c r="B619" s="141"/>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row>
    <row r="620" spans="1:26" x14ac:dyDescent="0.25">
      <c r="A620" s="140"/>
      <c r="B620" s="141"/>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row>
    <row r="621" spans="1:26" x14ac:dyDescent="0.25">
      <c r="A621" s="140"/>
      <c r="B621" s="141"/>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row>
    <row r="622" spans="1:26" x14ac:dyDescent="0.25">
      <c r="A622" s="140"/>
      <c r="B622" s="141"/>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row>
    <row r="623" spans="1:26" x14ac:dyDescent="0.25">
      <c r="A623" s="140"/>
      <c r="B623" s="141"/>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row>
    <row r="624" spans="1:26" x14ac:dyDescent="0.25">
      <c r="A624" s="140"/>
      <c r="B624" s="141"/>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row>
    <row r="625" spans="1:26" x14ac:dyDescent="0.25">
      <c r="A625" s="140"/>
      <c r="B625" s="141"/>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row>
    <row r="626" spans="1:26" x14ac:dyDescent="0.25">
      <c r="A626" s="140"/>
      <c r="B626" s="141"/>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row>
    <row r="627" spans="1:26" x14ac:dyDescent="0.25">
      <c r="A627" s="140"/>
      <c r="B627" s="141"/>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row>
    <row r="628" spans="1:26" x14ac:dyDescent="0.25">
      <c r="A628" s="140"/>
      <c r="B628" s="141"/>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row>
    <row r="629" spans="1:26" x14ac:dyDescent="0.25">
      <c r="A629" s="140"/>
      <c r="B629" s="141"/>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row>
    <row r="630" spans="1:26" x14ac:dyDescent="0.25">
      <c r="A630" s="140"/>
      <c r="B630" s="141"/>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row>
    <row r="631" spans="1:26" x14ac:dyDescent="0.25">
      <c r="A631" s="140"/>
      <c r="B631" s="141"/>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row>
    <row r="632" spans="1:26" x14ac:dyDescent="0.25">
      <c r="A632" s="140"/>
      <c r="B632" s="141"/>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row>
    <row r="633" spans="1:26" x14ac:dyDescent="0.25">
      <c r="A633" s="140"/>
      <c r="B633" s="141"/>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row>
    <row r="634" spans="1:26" x14ac:dyDescent="0.25">
      <c r="A634" s="140"/>
      <c r="B634" s="141"/>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row>
    <row r="635" spans="1:26" x14ac:dyDescent="0.25">
      <c r="A635" s="140"/>
      <c r="B635" s="141"/>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row>
    <row r="636" spans="1:26" x14ac:dyDescent="0.25">
      <c r="A636" s="140"/>
      <c r="B636" s="141"/>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row>
    <row r="637" spans="1:26" x14ac:dyDescent="0.25">
      <c r="A637" s="140"/>
      <c r="B637" s="141"/>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row>
    <row r="638" spans="1:26" x14ac:dyDescent="0.25">
      <c r="A638" s="140"/>
      <c r="B638" s="141"/>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row>
    <row r="639" spans="1:26" x14ac:dyDescent="0.25">
      <c r="A639" s="140"/>
      <c r="B639" s="141"/>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row>
    <row r="640" spans="1:26" x14ac:dyDescent="0.25">
      <c r="A640" s="140"/>
      <c r="B640" s="141"/>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row>
    <row r="641" spans="1:26" x14ac:dyDescent="0.25">
      <c r="A641" s="140"/>
      <c r="B641" s="141"/>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row>
    <row r="642" spans="1:26" x14ac:dyDescent="0.25">
      <c r="A642" s="140"/>
      <c r="B642" s="141"/>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row>
    <row r="643" spans="1:26" x14ac:dyDescent="0.25">
      <c r="A643" s="140"/>
      <c r="B643" s="141"/>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row>
    <row r="644" spans="1:26" x14ac:dyDescent="0.25">
      <c r="A644" s="140"/>
      <c r="B644" s="141"/>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row>
    <row r="645" spans="1:26" x14ac:dyDescent="0.25">
      <c r="A645" s="140"/>
      <c r="B645" s="141"/>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row>
    <row r="646" spans="1:26" x14ac:dyDescent="0.25">
      <c r="A646" s="140"/>
      <c r="B646" s="141"/>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row>
    <row r="647" spans="1:26" x14ac:dyDescent="0.25">
      <c r="A647" s="140"/>
      <c r="B647" s="141"/>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row>
    <row r="648" spans="1:26" x14ac:dyDescent="0.25">
      <c r="A648" s="140"/>
      <c r="B648" s="141"/>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row>
    <row r="649" spans="1:26" x14ac:dyDescent="0.25">
      <c r="A649" s="140"/>
      <c r="B649" s="141"/>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row>
    <row r="650" spans="1:26" x14ac:dyDescent="0.25">
      <c r="A650" s="140"/>
      <c r="B650" s="141"/>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row>
    <row r="651" spans="1:26" x14ac:dyDescent="0.25">
      <c r="A651" s="140"/>
      <c r="B651" s="141"/>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row>
    <row r="652" spans="1:26" x14ac:dyDescent="0.25">
      <c r="A652" s="140"/>
      <c r="B652" s="141"/>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row>
    <row r="653" spans="1:26" x14ac:dyDescent="0.25">
      <c r="A653" s="140"/>
      <c r="B653" s="141"/>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row>
    <row r="654" spans="1:26" x14ac:dyDescent="0.25">
      <c r="A654" s="140"/>
      <c r="B654" s="141"/>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row>
    <row r="655" spans="1:26" x14ac:dyDescent="0.25">
      <c r="A655" s="140"/>
      <c r="B655" s="141"/>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row>
    <row r="656" spans="1:26" x14ac:dyDescent="0.25">
      <c r="A656" s="140"/>
      <c r="B656" s="141"/>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row>
    <row r="657" spans="1:26" x14ac:dyDescent="0.25">
      <c r="A657" s="140"/>
      <c r="B657" s="141"/>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row>
    <row r="658" spans="1:26" x14ac:dyDescent="0.25">
      <c r="A658" s="140"/>
      <c r="B658" s="141"/>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row>
    <row r="659" spans="1:26" x14ac:dyDescent="0.25">
      <c r="A659" s="140"/>
      <c r="B659" s="141"/>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row>
    <row r="660" spans="1:26" x14ac:dyDescent="0.25">
      <c r="A660" s="140"/>
      <c r="B660" s="141"/>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row>
    <row r="661" spans="1:26" x14ac:dyDescent="0.25">
      <c r="A661" s="140"/>
      <c r="B661" s="141"/>
      <c r="C661" s="140"/>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row>
    <row r="662" spans="1:26" x14ac:dyDescent="0.25">
      <c r="A662" s="140"/>
      <c r="B662" s="141"/>
      <c r="C662" s="140"/>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row>
    <row r="663" spans="1:26" x14ac:dyDescent="0.25">
      <c r="A663" s="140"/>
      <c r="B663" s="141"/>
      <c r="C663" s="140"/>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row>
    <row r="664" spans="1:26" x14ac:dyDescent="0.25">
      <c r="A664" s="140"/>
      <c r="B664" s="141"/>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row>
    <row r="665" spans="1:26" x14ac:dyDescent="0.25">
      <c r="A665" s="140"/>
      <c r="B665" s="141"/>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row>
    <row r="666" spans="1:26" x14ac:dyDescent="0.25">
      <c r="A666" s="140"/>
      <c r="B666" s="141"/>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row>
    <row r="667" spans="1:26" x14ac:dyDescent="0.25">
      <c r="A667" s="140"/>
      <c r="B667" s="141"/>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row>
    <row r="668" spans="1:26" x14ac:dyDescent="0.25">
      <c r="A668" s="140"/>
      <c r="B668" s="141"/>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row>
    <row r="669" spans="1:26" x14ac:dyDescent="0.25">
      <c r="A669" s="140"/>
      <c r="B669" s="141"/>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row>
    <row r="670" spans="1:26" x14ac:dyDescent="0.25">
      <c r="A670" s="140"/>
      <c r="B670" s="141"/>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row>
    <row r="671" spans="1:26" x14ac:dyDescent="0.25">
      <c r="A671" s="140"/>
      <c r="B671" s="141"/>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row>
    <row r="672" spans="1:26" x14ac:dyDescent="0.25">
      <c r="A672" s="140"/>
      <c r="B672" s="141"/>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row>
    <row r="673" spans="1:26" x14ac:dyDescent="0.25">
      <c r="A673" s="140"/>
      <c r="B673" s="141"/>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row>
    <row r="674" spans="1:26" x14ac:dyDescent="0.25">
      <c r="A674" s="140"/>
      <c r="B674" s="141"/>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row>
    <row r="675" spans="1:26" x14ac:dyDescent="0.25">
      <c r="A675" s="140"/>
      <c r="B675" s="141"/>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row>
    <row r="676" spans="1:26" x14ac:dyDescent="0.25">
      <c r="A676" s="140"/>
      <c r="B676" s="141"/>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row>
    <row r="677" spans="1:26" x14ac:dyDescent="0.25">
      <c r="A677" s="140"/>
      <c r="B677" s="141"/>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row>
    <row r="678" spans="1:26" x14ac:dyDescent="0.25">
      <c r="A678" s="140"/>
      <c r="B678" s="141"/>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row>
    <row r="679" spans="1:26" x14ac:dyDescent="0.25">
      <c r="A679" s="140"/>
      <c r="B679" s="141"/>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row>
    <row r="680" spans="1:26" x14ac:dyDescent="0.25">
      <c r="A680" s="140"/>
      <c r="B680" s="141"/>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row>
    <row r="681" spans="1:26" x14ac:dyDescent="0.25">
      <c r="A681" s="140"/>
      <c r="B681" s="141"/>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row>
    <row r="682" spans="1:26" x14ac:dyDescent="0.25">
      <c r="A682" s="140"/>
      <c r="B682" s="141"/>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row>
    <row r="683" spans="1:26" x14ac:dyDescent="0.25">
      <c r="A683" s="140"/>
      <c r="B683" s="141"/>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row>
    <row r="684" spans="1:26" x14ac:dyDescent="0.25">
      <c r="A684" s="140"/>
      <c r="B684" s="141"/>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row>
    <row r="685" spans="1:26" x14ac:dyDescent="0.25">
      <c r="A685" s="140"/>
      <c r="B685" s="141"/>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row>
    <row r="686" spans="1:26" x14ac:dyDescent="0.25">
      <c r="A686" s="140"/>
      <c r="B686" s="141"/>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row>
    <row r="687" spans="1:26" x14ac:dyDescent="0.25">
      <c r="A687" s="140"/>
      <c r="B687" s="141"/>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row>
    <row r="688" spans="1:26" x14ac:dyDescent="0.25">
      <c r="A688" s="140"/>
      <c r="B688" s="141"/>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row>
    <row r="689" spans="1:26" x14ac:dyDescent="0.25">
      <c r="A689" s="140"/>
      <c r="B689" s="141"/>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row>
    <row r="690" spans="1:26" x14ac:dyDescent="0.25">
      <c r="A690" s="140"/>
      <c r="B690" s="141"/>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row>
    <row r="691" spans="1:26" x14ac:dyDescent="0.25">
      <c r="A691" s="140"/>
      <c r="B691" s="141"/>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row>
    <row r="692" spans="1:26" x14ac:dyDescent="0.25">
      <c r="A692" s="140"/>
      <c r="B692" s="141"/>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row>
    <row r="693" spans="1:26" x14ac:dyDescent="0.25">
      <c r="A693" s="140"/>
      <c r="B693" s="141"/>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row>
    <row r="694" spans="1:26" x14ac:dyDescent="0.25">
      <c r="A694" s="140"/>
      <c r="B694" s="141"/>
      <c r="C694" s="140"/>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row>
    <row r="695" spans="1:26" x14ac:dyDescent="0.25">
      <c r="A695" s="140"/>
      <c r="B695" s="141"/>
      <c r="C695" s="140"/>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row>
    <row r="696" spans="1:26" x14ac:dyDescent="0.25">
      <c r="A696" s="140"/>
      <c r="B696" s="141"/>
      <c r="C696" s="140"/>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row>
    <row r="697" spans="1:26" x14ac:dyDescent="0.25">
      <c r="A697" s="140"/>
      <c r="B697" s="141"/>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row>
    <row r="698" spans="1:26" x14ac:dyDescent="0.25">
      <c r="A698" s="140"/>
      <c r="B698" s="141"/>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row>
    <row r="699" spans="1:26" x14ac:dyDescent="0.25">
      <c r="A699" s="140"/>
      <c r="B699" s="141"/>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row>
    <row r="700" spans="1:26" x14ac:dyDescent="0.25">
      <c r="A700" s="140"/>
      <c r="B700" s="141"/>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row>
    <row r="701" spans="1:26" x14ac:dyDescent="0.25">
      <c r="A701" s="140"/>
      <c r="B701" s="141"/>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row>
    <row r="702" spans="1:26" x14ac:dyDescent="0.25">
      <c r="A702" s="140"/>
      <c r="B702" s="141"/>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row>
    <row r="703" spans="1:26" x14ac:dyDescent="0.25">
      <c r="A703" s="140"/>
      <c r="B703" s="141"/>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row>
    <row r="704" spans="1:26" x14ac:dyDescent="0.25">
      <c r="A704" s="140"/>
      <c r="B704" s="141"/>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row>
    <row r="705" spans="1:26" x14ac:dyDescent="0.25">
      <c r="A705" s="140"/>
      <c r="B705" s="141"/>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row>
    <row r="706" spans="1:26" x14ac:dyDescent="0.25">
      <c r="A706" s="140"/>
      <c r="B706" s="141"/>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row>
    <row r="707" spans="1:26" x14ac:dyDescent="0.25">
      <c r="A707" s="140"/>
      <c r="B707" s="141"/>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row>
    <row r="708" spans="1:26" x14ac:dyDescent="0.25">
      <c r="A708" s="140"/>
      <c r="B708" s="141"/>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row>
    <row r="709" spans="1:26" x14ac:dyDescent="0.25">
      <c r="A709" s="140"/>
      <c r="B709" s="141"/>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row>
    <row r="710" spans="1:26" x14ac:dyDescent="0.25">
      <c r="A710" s="140"/>
      <c r="B710" s="141"/>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row>
    <row r="711" spans="1:26" x14ac:dyDescent="0.25">
      <c r="A711" s="140"/>
      <c r="B711" s="141"/>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row>
    <row r="712" spans="1:26" x14ac:dyDescent="0.25">
      <c r="A712" s="140"/>
      <c r="B712" s="141"/>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row>
    <row r="713" spans="1:26" x14ac:dyDescent="0.25">
      <c r="A713" s="140"/>
      <c r="B713" s="141"/>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row>
    <row r="714" spans="1:26" x14ac:dyDescent="0.25">
      <c r="A714" s="140"/>
      <c r="B714" s="141"/>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row>
    <row r="715" spans="1:26" x14ac:dyDescent="0.25">
      <c r="A715" s="140"/>
      <c r="B715" s="141"/>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row>
    <row r="716" spans="1:26" x14ac:dyDescent="0.25">
      <c r="A716" s="140"/>
      <c r="B716" s="141"/>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row>
    <row r="717" spans="1:26" x14ac:dyDescent="0.25">
      <c r="A717" s="140"/>
      <c r="B717" s="141"/>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row>
    <row r="718" spans="1:26" x14ac:dyDescent="0.25">
      <c r="A718" s="140"/>
      <c r="B718" s="141"/>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row>
    <row r="719" spans="1:26" x14ac:dyDescent="0.25">
      <c r="A719" s="140"/>
      <c r="B719" s="141"/>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row>
    <row r="720" spans="1:26" x14ac:dyDescent="0.25">
      <c r="A720" s="140"/>
      <c r="B720" s="141"/>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row>
    <row r="721" spans="1:26" x14ac:dyDescent="0.25">
      <c r="A721" s="140"/>
      <c r="B721" s="141"/>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row>
    <row r="722" spans="1:26" x14ac:dyDescent="0.25">
      <c r="A722" s="140"/>
      <c r="B722" s="141"/>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row>
    <row r="723" spans="1:26" x14ac:dyDescent="0.25">
      <c r="A723" s="140"/>
      <c r="B723" s="141"/>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row>
    <row r="724" spans="1:26" x14ac:dyDescent="0.25">
      <c r="A724" s="140"/>
      <c r="B724" s="141"/>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row>
    <row r="725" spans="1:26" x14ac:dyDescent="0.25">
      <c r="A725" s="140"/>
      <c r="B725" s="141"/>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row>
    <row r="726" spans="1:26" x14ac:dyDescent="0.25">
      <c r="A726" s="140"/>
      <c r="B726" s="141"/>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row>
    <row r="727" spans="1:26" x14ac:dyDescent="0.25">
      <c r="A727" s="140"/>
      <c r="B727" s="141"/>
      <c r="C727" s="140"/>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row>
    <row r="728" spans="1:26" x14ac:dyDescent="0.25">
      <c r="A728" s="140"/>
      <c r="B728" s="141"/>
      <c r="C728" s="140"/>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row>
    <row r="729" spans="1:26" x14ac:dyDescent="0.25">
      <c r="A729" s="140"/>
      <c r="B729" s="141"/>
      <c r="C729" s="140"/>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row>
    <row r="730" spans="1:26" x14ac:dyDescent="0.25">
      <c r="A730" s="140"/>
      <c r="B730" s="141"/>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row>
    <row r="731" spans="1:26" x14ac:dyDescent="0.25">
      <c r="A731" s="140"/>
      <c r="B731" s="141"/>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row>
    <row r="732" spans="1:26" x14ac:dyDescent="0.25">
      <c r="A732" s="140"/>
      <c r="B732" s="141"/>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row>
    <row r="733" spans="1:26" x14ac:dyDescent="0.25">
      <c r="A733" s="140"/>
      <c r="B733" s="141"/>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row>
    <row r="734" spans="1:26" x14ac:dyDescent="0.25">
      <c r="A734" s="140"/>
      <c r="B734" s="141"/>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row>
    <row r="735" spans="1:26" x14ac:dyDescent="0.25">
      <c r="A735" s="140"/>
      <c r="B735" s="141"/>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row>
    <row r="736" spans="1:26" x14ac:dyDescent="0.25">
      <c r="A736" s="140"/>
      <c r="B736" s="141"/>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row>
    <row r="737" spans="1:26" x14ac:dyDescent="0.25">
      <c r="A737" s="140"/>
      <c r="B737" s="141"/>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row>
    <row r="738" spans="1:26" x14ac:dyDescent="0.25">
      <c r="A738" s="140"/>
      <c r="B738" s="141"/>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row>
    <row r="739" spans="1:26" x14ac:dyDescent="0.25">
      <c r="A739" s="140"/>
      <c r="B739" s="141"/>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row>
    <row r="740" spans="1:26" x14ac:dyDescent="0.25">
      <c r="A740" s="140"/>
      <c r="B740" s="141"/>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row>
    <row r="741" spans="1:26" x14ac:dyDescent="0.25">
      <c r="A741" s="140"/>
      <c r="B741" s="141"/>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row>
    <row r="742" spans="1:26" x14ac:dyDescent="0.25">
      <c r="A742" s="140"/>
      <c r="B742" s="141"/>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row>
    <row r="743" spans="1:26" x14ac:dyDescent="0.25">
      <c r="A743" s="140"/>
      <c r="B743" s="141"/>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row>
    <row r="744" spans="1:26" x14ac:dyDescent="0.25">
      <c r="A744" s="140"/>
      <c r="B744" s="141"/>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row>
    <row r="745" spans="1:26" x14ac:dyDescent="0.25">
      <c r="A745" s="140"/>
      <c r="B745" s="141"/>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row>
    <row r="746" spans="1:26" x14ac:dyDescent="0.25">
      <c r="A746" s="140"/>
      <c r="B746" s="141"/>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row>
    <row r="747" spans="1:26" x14ac:dyDescent="0.25">
      <c r="A747" s="140"/>
      <c r="B747" s="141"/>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row>
    <row r="748" spans="1:26" x14ac:dyDescent="0.25">
      <c r="A748" s="140"/>
      <c r="B748" s="141"/>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row>
    <row r="749" spans="1:26" x14ac:dyDescent="0.25">
      <c r="A749" s="140"/>
      <c r="B749" s="141"/>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row>
    <row r="750" spans="1:26" x14ac:dyDescent="0.25">
      <c r="A750" s="140"/>
      <c r="B750" s="141"/>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row>
    <row r="751" spans="1:26" x14ac:dyDescent="0.25">
      <c r="A751" s="140"/>
      <c r="B751" s="141"/>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row>
    <row r="752" spans="1:26" x14ac:dyDescent="0.25">
      <c r="A752" s="140"/>
      <c r="B752" s="141"/>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row>
    <row r="753" spans="1:26" x14ac:dyDescent="0.25">
      <c r="A753" s="140"/>
      <c r="B753" s="141"/>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row>
    <row r="754" spans="1:26" x14ac:dyDescent="0.25">
      <c r="A754" s="140"/>
      <c r="B754" s="141"/>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row>
    <row r="755" spans="1:26" x14ac:dyDescent="0.25">
      <c r="A755" s="140"/>
      <c r="B755" s="141"/>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row>
    <row r="756" spans="1:26" x14ac:dyDescent="0.25">
      <c r="A756" s="140"/>
      <c r="B756" s="141"/>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row>
    <row r="757" spans="1:26" x14ac:dyDescent="0.25">
      <c r="A757" s="140"/>
      <c r="B757" s="141"/>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row>
    <row r="758" spans="1:26" x14ac:dyDescent="0.25">
      <c r="A758" s="140"/>
      <c r="B758" s="141"/>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row>
    <row r="759" spans="1:26" x14ac:dyDescent="0.25">
      <c r="A759" s="140"/>
      <c r="B759" s="141"/>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row>
    <row r="760" spans="1:26" x14ac:dyDescent="0.25">
      <c r="A760" s="140"/>
      <c r="B760" s="141"/>
      <c r="C760" s="140"/>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row>
    <row r="761" spans="1:26" x14ac:dyDescent="0.25">
      <c r="A761" s="140"/>
      <c r="B761" s="141"/>
      <c r="C761" s="140"/>
      <c r="D761" s="140"/>
      <c r="E761" s="140"/>
      <c r="F761" s="140"/>
      <c r="G761" s="140"/>
      <c r="H761" s="140"/>
      <c r="I761" s="140"/>
      <c r="J761" s="140"/>
      <c r="K761" s="140"/>
      <c r="L761" s="140"/>
      <c r="M761" s="140"/>
      <c r="N761" s="140"/>
      <c r="O761" s="140"/>
      <c r="P761" s="140"/>
      <c r="Q761" s="140"/>
      <c r="R761" s="140"/>
      <c r="S761" s="140"/>
      <c r="T761" s="140"/>
      <c r="U761" s="140"/>
      <c r="V761" s="140"/>
      <c r="W761" s="140"/>
      <c r="X761" s="140"/>
      <c r="Y761" s="140"/>
      <c r="Z761" s="140"/>
    </row>
    <row r="762" spans="1:26" x14ac:dyDescent="0.25">
      <c r="A762" s="140"/>
      <c r="B762" s="141"/>
      <c r="C762" s="140"/>
      <c r="D762" s="140"/>
      <c r="E762" s="140"/>
      <c r="F762" s="140"/>
      <c r="G762" s="140"/>
      <c r="H762" s="140"/>
      <c r="I762" s="140"/>
      <c r="J762" s="140"/>
      <c r="K762" s="140"/>
      <c r="L762" s="140"/>
      <c r="M762" s="140"/>
      <c r="N762" s="140"/>
      <c r="O762" s="140"/>
      <c r="P762" s="140"/>
      <c r="Q762" s="140"/>
      <c r="R762" s="140"/>
      <c r="S762" s="140"/>
      <c r="T762" s="140"/>
      <c r="U762" s="140"/>
      <c r="V762" s="140"/>
      <c r="W762" s="140"/>
      <c r="X762" s="140"/>
      <c r="Y762" s="140"/>
      <c r="Z762" s="140"/>
    </row>
    <row r="763" spans="1:26" x14ac:dyDescent="0.25">
      <c r="A763" s="140"/>
      <c r="B763" s="141"/>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row>
    <row r="764" spans="1:26" x14ac:dyDescent="0.25">
      <c r="A764" s="140"/>
      <c r="B764" s="141"/>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row>
    <row r="765" spans="1:26" x14ac:dyDescent="0.25">
      <c r="A765" s="140"/>
      <c r="B765" s="141"/>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row>
    <row r="766" spans="1:26" x14ac:dyDescent="0.25">
      <c r="A766" s="140"/>
      <c r="B766" s="141"/>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row>
    <row r="767" spans="1:26" x14ac:dyDescent="0.25">
      <c r="A767" s="140"/>
      <c r="B767" s="141"/>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row>
    <row r="768" spans="1:26" x14ac:dyDescent="0.25">
      <c r="A768" s="140"/>
      <c r="B768" s="141"/>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row>
    <row r="769" spans="1:26" x14ac:dyDescent="0.25">
      <c r="A769" s="140"/>
      <c r="B769" s="141"/>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row>
    <row r="770" spans="1:26" x14ac:dyDescent="0.25">
      <c r="A770" s="140"/>
      <c r="B770" s="141"/>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row>
    <row r="771" spans="1:26" x14ac:dyDescent="0.25">
      <c r="A771" s="140"/>
      <c r="B771" s="141"/>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row>
    <row r="772" spans="1:26" x14ac:dyDescent="0.25">
      <c r="A772" s="140"/>
      <c r="B772" s="141"/>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row>
    <row r="773" spans="1:26" x14ac:dyDescent="0.25">
      <c r="A773" s="140"/>
      <c r="B773" s="141"/>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row>
    <row r="774" spans="1:26" x14ac:dyDescent="0.25">
      <c r="A774" s="140"/>
      <c r="B774" s="141"/>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row>
    <row r="775" spans="1:26" x14ac:dyDescent="0.25">
      <c r="A775" s="140"/>
      <c r="B775" s="141"/>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row>
    <row r="776" spans="1:26" x14ac:dyDescent="0.25">
      <c r="A776" s="140"/>
      <c r="B776" s="141"/>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row>
    <row r="777" spans="1:26" x14ac:dyDescent="0.25">
      <c r="A777" s="140"/>
      <c r="B777" s="141"/>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row>
    <row r="778" spans="1:26" x14ac:dyDescent="0.25">
      <c r="A778" s="140"/>
      <c r="B778" s="141"/>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row>
    <row r="779" spans="1:26" x14ac:dyDescent="0.25">
      <c r="A779" s="140"/>
      <c r="B779" s="141"/>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row>
    <row r="780" spans="1:26" x14ac:dyDescent="0.25">
      <c r="A780" s="140"/>
      <c r="B780" s="141"/>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row>
    <row r="781" spans="1:26" x14ac:dyDescent="0.25">
      <c r="A781" s="140"/>
      <c r="B781" s="141"/>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row>
    <row r="782" spans="1:26" x14ac:dyDescent="0.25">
      <c r="A782" s="140"/>
      <c r="B782" s="141"/>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row>
    <row r="783" spans="1:26" x14ac:dyDescent="0.25">
      <c r="A783" s="140"/>
      <c r="B783" s="141"/>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row>
    <row r="784" spans="1:26" x14ac:dyDescent="0.25">
      <c r="A784" s="140"/>
      <c r="B784" s="141"/>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row>
    <row r="785" spans="1:26" x14ac:dyDescent="0.25">
      <c r="A785" s="140"/>
      <c r="B785" s="141"/>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row>
    <row r="786" spans="1:26" x14ac:dyDescent="0.25">
      <c r="A786" s="140"/>
      <c r="B786" s="141"/>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row>
    <row r="787" spans="1:26" x14ac:dyDescent="0.25">
      <c r="A787" s="140"/>
      <c r="B787" s="141"/>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row>
    <row r="788" spans="1:26" x14ac:dyDescent="0.25">
      <c r="A788" s="140"/>
      <c r="B788" s="141"/>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row>
    <row r="789" spans="1:26" x14ac:dyDescent="0.25">
      <c r="A789" s="140"/>
      <c r="B789" s="141"/>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row>
    <row r="790" spans="1:26" x14ac:dyDescent="0.25">
      <c r="A790" s="140"/>
      <c r="B790" s="141"/>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row>
    <row r="791" spans="1:26" x14ac:dyDescent="0.25">
      <c r="A791" s="140"/>
      <c r="B791" s="141"/>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row>
    <row r="792" spans="1:26" x14ac:dyDescent="0.25">
      <c r="A792" s="140"/>
      <c r="B792" s="141"/>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row>
    <row r="793" spans="1:26" x14ac:dyDescent="0.25">
      <c r="A793" s="140"/>
      <c r="B793" s="141"/>
      <c r="C793" s="140"/>
      <c r="D793" s="140"/>
      <c r="E793" s="140"/>
      <c r="F793" s="140"/>
      <c r="G793" s="140"/>
      <c r="H793" s="140"/>
      <c r="I793" s="140"/>
      <c r="J793" s="140"/>
      <c r="K793" s="140"/>
      <c r="L793" s="140"/>
      <c r="M793" s="140"/>
      <c r="N793" s="140"/>
      <c r="O793" s="140"/>
      <c r="P793" s="140"/>
      <c r="Q793" s="140"/>
      <c r="R793" s="140"/>
      <c r="S793" s="140"/>
      <c r="T793" s="140"/>
      <c r="U793" s="140"/>
      <c r="V793" s="140"/>
      <c r="W793" s="140"/>
      <c r="X793" s="140"/>
      <c r="Y793" s="140"/>
      <c r="Z793" s="140"/>
    </row>
    <row r="794" spans="1:26" x14ac:dyDescent="0.25">
      <c r="A794" s="140"/>
      <c r="B794" s="141"/>
      <c r="C794" s="140"/>
      <c r="D794" s="140"/>
      <c r="E794" s="140"/>
      <c r="F794" s="140"/>
      <c r="G794" s="140"/>
      <c r="H794" s="140"/>
      <c r="I794" s="140"/>
      <c r="J794" s="140"/>
      <c r="K794" s="140"/>
      <c r="L794" s="140"/>
      <c r="M794" s="140"/>
      <c r="N794" s="140"/>
      <c r="O794" s="140"/>
      <c r="P794" s="140"/>
      <c r="Q794" s="140"/>
      <c r="R794" s="140"/>
      <c r="S794" s="140"/>
      <c r="T794" s="140"/>
      <c r="U794" s="140"/>
      <c r="V794" s="140"/>
      <c r="W794" s="140"/>
      <c r="X794" s="140"/>
      <c r="Y794" s="140"/>
      <c r="Z794" s="140"/>
    </row>
    <row r="795" spans="1:26" x14ac:dyDescent="0.25">
      <c r="A795" s="140"/>
      <c r="B795" s="141"/>
      <c r="C795" s="140"/>
      <c r="D795" s="140"/>
      <c r="E795" s="140"/>
      <c r="F795" s="140"/>
      <c r="G795" s="140"/>
      <c r="H795" s="140"/>
      <c r="I795" s="140"/>
      <c r="J795" s="140"/>
      <c r="K795" s="140"/>
      <c r="L795" s="140"/>
      <c r="M795" s="140"/>
      <c r="N795" s="140"/>
      <c r="O795" s="140"/>
      <c r="P795" s="140"/>
      <c r="Q795" s="140"/>
      <c r="R795" s="140"/>
      <c r="S795" s="140"/>
      <c r="T795" s="140"/>
      <c r="U795" s="140"/>
      <c r="V795" s="140"/>
      <c r="W795" s="140"/>
      <c r="X795" s="140"/>
      <c r="Y795" s="140"/>
      <c r="Z795" s="140"/>
    </row>
    <row r="796" spans="1:26" x14ac:dyDescent="0.25">
      <c r="A796" s="140"/>
      <c r="B796" s="141"/>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row>
    <row r="797" spans="1:26" x14ac:dyDescent="0.25">
      <c r="A797" s="140"/>
      <c r="B797" s="141"/>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row>
    <row r="798" spans="1:26" x14ac:dyDescent="0.25">
      <c r="A798" s="140"/>
      <c r="B798" s="141"/>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row>
    <row r="799" spans="1:26" x14ac:dyDescent="0.25">
      <c r="A799" s="140"/>
      <c r="B799" s="141"/>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row>
    <row r="800" spans="1:26" x14ac:dyDescent="0.25">
      <c r="A800" s="140"/>
      <c r="B800" s="141"/>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row>
    <row r="801" spans="1:26" x14ac:dyDescent="0.25">
      <c r="A801" s="140"/>
      <c r="B801" s="141"/>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row>
    <row r="802" spans="1:26" x14ac:dyDescent="0.25">
      <c r="A802" s="140"/>
      <c r="B802" s="141"/>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row>
    <row r="803" spans="1:26" x14ac:dyDescent="0.25">
      <c r="A803" s="140"/>
      <c r="B803" s="141"/>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row>
    <row r="804" spans="1:26" x14ac:dyDescent="0.25">
      <c r="A804" s="140"/>
      <c r="B804" s="141"/>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row>
    <row r="805" spans="1:26" x14ac:dyDescent="0.25">
      <c r="A805" s="140"/>
      <c r="B805" s="141"/>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row>
    <row r="806" spans="1:26" x14ac:dyDescent="0.25">
      <c r="A806" s="140"/>
      <c r="B806" s="141"/>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row>
    <row r="807" spans="1:26" x14ac:dyDescent="0.25">
      <c r="A807" s="140"/>
      <c r="B807" s="141"/>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row>
    <row r="808" spans="1:26" x14ac:dyDescent="0.25">
      <c r="A808" s="140"/>
      <c r="B808" s="141"/>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row>
    <row r="809" spans="1:26" x14ac:dyDescent="0.25">
      <c r="A809" s="140"/>
      <c r="B809" s="141"/>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row>
    <row r="810" spans="1:26" x14ac:dyDescent="0.25">
      <c r="A810" s="140"/>
      <c r="B810" s="141"/>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row>
    <row r="811" spans="1:26" x14ac:dyDescent="0.25">
      <c r="A811" s="140"/>
      <c r="B811" s="141"/>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row>
    <row r="812" spans="1:26" x14ac:dyDescent="0.25">
      <c r="A812" s="140"/>
      <c r="B812" s="141"/>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row>
    <row r="813" spans="1:26" x14ac:dyDescent="0.25">
      <c r="A813" s="140"/>
      <c r="B813" s="141"/>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row>
    <row r="814" spans="1:26" x14ac:dyDescent="0.25">
      <c r="A814" s="140"/>
      <c r="B814" s="141"/>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row>
    <row r="815" spans="1:26" x14ac:dyDescent="0.25">
      <c r="A815" s="140"/>
      <c r="B815" s="141"/>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row>
    <row r="816" spans="1:26" x14ac:dyDescent="0.25">
      <c r="A816" s="140"/>
      <c r="B816" s="141"/>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row>
    <row r="817" spans="1:26" x14ac:dyDescent="0.25">
      <c r="A817" s="140"/>
      <c r="B817" s="141"/>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row>
    <row r="818" spans="1:26" x14ac:dyDescent="0.25">
      <c r="A818" s="140"/>
      <c r="B818" s="141"/>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row>
    <row r="819" spans="1:26" x14ac:dyDescent="0.25">
      <c r="A819" s="140"/>
      <c r="B819" s="141"/>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row>
    <row r="820" spans="1:26" x14ac:dyDescent="0.25">
      <c r="A820" s="140"/>
      <c r="B820" s="141"/>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row>
    <row r="821" spans="1:26" x14ac:dyDescent="0.25">
      <c r="A821" s="140"/>
      <c r="B821" s="141"/>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row>
    <row r="822" spans="1:26" x14ac:dyDescent="0.25">
      <c r="A822" s="140"/>
      <c r="B822" s="141"/>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row>
    <row r="823" spans="1:26" x14ac:dyDescent="0.25">
      <c r="A823" s="140"/>
      <c r="B823" s="141"/>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row>
    <row r="824" spans="1:26" x14ac:dyDescent="0.25">
      <c r="A824" s="140"/>
      <c r="B824" s="141"/>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row>
    <row r="825" spans="1:26" x14ac:dyDescent="0.25">
      <c r="A825" s="140"/>
      <c r="B825" s="141"/>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row>
    <row r="826" spans="1:26" x14ac:dyDescent="0.25">
      <c r="A826" s="140"/>
      <c r="B826" s="141"/>
      <c r="C826" s="140"/>
      <c r="D826" s="140"/>
      <c r="E826" s="140"/>
      <c r="F826" s="140"/>
      <c r="G826" s="140"/>
      <c r="H826" s="140"/>
      <c r="I826" s="140"/>
      <c r="J826" s="140"/>
      <c r="K826" s="140"/>
      <c r="L826" s="140"/>
      <c r="M826" s="140"/>
      <c r="N826" s="140"/>
      <c r="O826" s="140"/>
      <c r="P826" s="140"/>
      <c r="Q826" s="140"/>
      <c r="R826" s="140"/>
      <c r="S826" s="140"/>
      <c r="T826" s="140"/>
      <c r="U826" s="140"/>
      <c r="V826" s="140"/>
      <c r="W826" s="140"/>
      <c r="X826" s="140"/>
      <c r="Y826" s="140"/>
      <c r="Z826" s="140"/>
    </row>
    <row r="827" spans="1:26" x14ac:dyDescent="0.25">
      <c r="A827" s="140"/>
      <c r="B827" s="141"/>
      <c r="C827" s="140"/>
      <c r="D827" s="140"/>
      <c r="E827" s="140"/>
      <c r="F827" s="140"/>
      <c r="G827" s="140"/>
      <c r="H827" s="140"/>
      <c r="I827" s="140"/>
      <c r="J827" s="140"/>
      <c r="K827" s="140"/>
      <c r="L827" s="140"/>
      <c r="M827" s="140"/>
      <c r="N827" s="140"/>
      <c r="O827" s="140"/>
      <c r="P827" s="140"/>
      <c r="Q827" s="140"/>
      <c r="R827" s="140"/>
      <c r="S827" s="140"/>
      <c r="T827" s="140"/>
      <c r="U827" s="140"/>
      <c r="V827" s="140"/>
      <c r="W827" s="140"/>
      <c r="X827" s="140"/>
      <c r="Y827" s="140"/>
      <c r="Z827" s="140"/>
    </row>
    <row r="828" spans="1:26" x14ac:dyDescent="0.25">
      <c r="A828" s="140"/>
      <c r="B828" s="141"/>
      <c r="C828" s="140"/>
      <c r="D828" s="140"/>
      <c r="E828" s="140"/>
      <c r="F828" s="140"/>
      <c r="G828" s="140"/>
      <c r="H828" s="140"/>
      <c r="I828" s="140"/>
      <c r="J828" s="140"/>
      <c r="K828" s="140"/>
      <c r="L828" s="140"/>
      <c r="M828" s="140"/>
      <c r="N828" s="140"/>
      <c r="O828" s="140"/>
      <c r="P828" s="140"/>
      <c r="Q828" s="140"/>
      <c r="R828" s="140"/>
      <c r="S828" s="140"/>
      <c r="T828" s="140"/>
      <c r="U828" s="140"/>
      <c r="V828" s="140"/>
      <c r="W828" s="140"/>
      <c r="X828" s="140"/>
      <c r="Y828" s="140"/>
      <c r="Z828" s="140"/>
    </row>
    <row r="829" spans="1:26" x14ac:dyDescent="0.25">
      <c r="A829" s="140"/>
      <c r="B829" s="141"/>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row>
    <row r="830" spans="1:26" x14ac:dyDescent="0.25">
      <c r="A830" s="140"/>
      <c r="B830" s="141"/>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row>
    <row r="831" spans="1:26" x14ac:dyDescent="0.25">
      <c r="A831" s="140"/>
      <c r="B831" s="141"/>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row>
    <row r="832" spans="1:26" x14ac:dyDescent="0.25">
      <c r="A832" s="140"/>
      <c r="B832" s="141"/>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row>
    <row r="833" spans="1:26" x14ac:dyDescent="0.25">
      <c r="A833" s="140"/>
      <c r="B833" s="141"/>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row>
    <row r="834" spans="1:26" x14ac:dyDescent="0.25">
      <c r="A834" s="140"/>
      <c r="B834" s="141"/>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row>
    <row r="835" spans="1:26" x14ac:dyDescent="0.25">
      <c r="A835" s="140"/>
      <c r="B835" s="141"/>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row>
    <row r="836" spans="1:26" x14ac:dyDescent="0.25">
      <c r="A836" s="140"/>
      <c r="B836" s="141"/>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row>
    <row r="837" spans="1:26" x14ac:dyDescent="0.25">
      <c r="A837" s="140"/>
      <c r="B837" s="141"/>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row>
    <row r="838" spans="1:26" x14ac:dyDescent="0.25">
      <c r="A838" s="140"/>
      <c r="B838" s="141"/>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row>
    <row r="839" spans="1:26" x14ac:dyDescent="0.25">
      <c r="A839" s="140"/>
      <c r="B839" s="141"/>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row>
    <row r="840" spans="1:26" x14ac:dyDescent="0.25">
      <c r="A840" s="140"/>
      <c r="B840" s="141"/>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row>
    <row r="841" spans="1:26" x14ac:dyDescent="0.25">
      <c r="A841" s="140"/>
      <c r="B841" s="141"/>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row>
    <row r="842" spans="1:26" x14ac:dyDescent="0.25">
      <c r="A842" s="140"/>
      <c r="B842" s="141"/>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row>
    <row r="843" spans="1:26" x14ac:dyDescent="0.25">
      <c r="A843" s="140"/>
      <c r="B843" s="141"/>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row>
    <row r="844" spans="1:26" x14ac:dyDescent="0.25">
      <c r="A844" s="140"/>
      <c r="B844" s="141"/>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row>
    <row r="845" spans="1:26" x14ac:dyDescent="0.25">
      <c r="A845" s="140"/>
      <c r="B845" s="141"/>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row>
    <row r="846" spans="1:26" x14ac:dyDescent="0.25">
      <c r="A846" s="140"/>
      <c r="B846" s="141"/>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row>
    <row r="847" spans="1:26" x14ac:dyDescent="0.25">
      <c r="A847" s="140"/>
      <c r="B847" s="141"/>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row>
    <row r="848" spans="1:26" x14ac:dyDescent="0.25">
      <c r="A848" s="140"/>
      <c r="B848" s="141"/>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row>
    <row r="849" spans="1:26" x14ac:dyDescent="0.25">
      <c r="A849" s="140"/>
      <c r="B849" s="141"/>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row>
    <row r="850" spans="1:26" x14ac:dyDescent="0.25">
      <c r="A850" s="140"/>
      <c r="B850" s="141"/>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row>
    <row r="851" spans="1:26" x14ac:dyDescent="0.25">
      <c r="A851" s="140"/>
      <c r="B851" s="141"/>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row>
    <row r="852" spans="1:26" x14ac:dyDescent="0.25">
      <c r="A852" s="140"/>
      <c r="B852" s="141"/>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row>
    <row r="853" spans="1:26" x14ac:dyDescent="0.25">
      <c r="A853" s="140"/>
      <c r="B853" s="141"/>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row>
    <row r="854" spans="1:26" x14ac:dyDescent="0.25">
      <c r="A854" s="140"/>
      <c r="B854" s="141"/>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row>
    <row r="855" spans="1:26" x14ac:dyDescent="0.25">
      <c r="A855" s="140"/>
      <c r="B855" s="141"/>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row>
    <row r="856" spans="1:26" x14ac:dyDescent="0.25">
      <c r="A856" s="140"/>
      <c r="B856" s="141"/>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row>
    <row r="857" spans="1:26" x14ac:dyDescent="0.25">
      <c r="A857" s="140"/>
      <c r="B857" s="141"/>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row>
    <row r="858" spans="1:26" x14ac:dyDescent="0.25">
      <c r="A858" s="140"/>
      <c r="B858" s="141"/>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row>
    <row r="859" spans="1:26" x14ac:dyDescent="0.25">
      <c r="A859" s="140"/>
      <c r="B859" s="141"/>
      <c r="C859" s="140"/>
      <c r="D859" s="140"/>
      <c r="E859" s="140"/>
      <c r="F859" s="140"/>
      <c r="G859" s="140"/>
      <c r="H859" s="140"/>
      <c r="I859" s="140"/>
      <c r="J859" s="140"/>
      <c r="K859" s="140"/>
      <c r="L859" s="140"/>
      <c r="M859" s="140"/>
      <c r="N859" s="140"/>
      <c r="O859" s="140"/>
      <c r="P859" s="140"/>
      <c r="Q859" s="140"/>
      <c r="R859" s="140"/>
      <c r="S859" s="140"/>
      <c r="T859" s="140"/>
      <c r="U859" s="140"/>
      <c r="V859" s="140"/>
      <c r="W859" s="140"/>
      <c r="X859" s="140"/>
      <c r="Y859" s="140"/>
      <c r="Z859" s="140"/>
    </row>
    <row r="860" spans="1:26" x14ac:dyDescent="0.25">
      <c r="A860" s="140"/>
      <c r="B860" s="141"/>
      <c r="C860" s="140"/>
      <c r="D860" s="140"/>
      <c r="E860" s="140"/>
      <c r="F860" s="140"/>
      <c r="G860" s="140"/>
      <c r="H860" s="140"/>
      <c r="I860" s="140"/>
      <c r="J860" s="140"/>
      <c r="K860" s="140"/>
      <c r="L860" s="140"/>
      <c r="M860" s="140"/>
      <c r="N860" s="140"/>
      <c r="O860" s="140"/>
      <c r="P860" s="140"/>
      <c r="Q860" s="140"/>
      <c r="R860" s="140"/>
      <c r="S860" s="140"/>
      <c r="T860" s="140"/>
      <c r="U860" s="140"/>
      <c r="V860" s="140"/>
      <c r="W860" s="140"/>
      <c r="X860" s="140"/>
      <c r="Y860" s="140"/>
      <c r="Z860" s="140"/>
    </row>
    <row r="861" spans="1:26" x14ac:dyDescent="0.25">
      <c r="A861" s="140"/>
      <c r="B861" s="141"/>
      <c r="C861" s="140"/>
      <c r="D861" s="140"/>
      <c r="E861" s="140"/>
      <c r="F861" s="140"/>
      <c r="G861" s="140"/>
      <c r="H861" s="140"/>
      <c r="I861" s="140"/>
      <c r="J861" s="140"/>
      <c r="K861" s="140"/>
      <c r="L861" s="140"/>
      <c r="M861" s="140"/>
      <c r="N861" s="140"/>
      <c r="O861" s="140"/>
      <c r="P861" s="140"/>
      <c r="Q861" s="140"/>
      <c r="R861" s="140"/>
      <c r="S861" s="140"/>
      <c r="T861" s="140"/>
      <c r="U861" s="140"/>
      <c r="V861" s="140"/>
      <c r="W861" s="140"/>
      <c r="X861" s="140"/>
      <c r="Y861" s="140"/>
      <c r="Z861" s="140"/>
    </row>
    <row r="862" spans="1:26" x14ac:dyDescent="0.25">
      <c r="A862" s="140"/>
      <c r="B862" s="141"/>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row>
    <row r="863" spans="1:26" x14ac:dyDescent="0.25">
      <c r="A863" s="140"/>
      <c r="B863" s="141"/>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row>
    <row r="864" spans="1:26" x14ac:dyDescent="0.25">
      <c r="A864" s="140"/>
      <c r="B864" s="141"/>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row>
    <row r="865" spans="1:26" x14ac:dyDescent="0.25">
      <c r="A865" s="140"/>
      <c r="B865" s="141"/>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row>
    <row r="866" spans="1:26" x14ac:dyDescent="0.25">
      <c r="A866" s="140"/>
      <c r="B866" s="141"/>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row>
    <row r="867" spans="1:26" x14ac:dyDescent="0.25">
      <c r="A867" s="140"/>
      <c r="B867" s="141"/>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row>
    <row r="868" spans="1:26" x14ac:dyDescent="0.25">
      <c r="A868" s="140"/>
      <c r="B868" s="141"/>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row>
    <row r="869" spans="1:26" x14ac:dyDescent="0.25">
      <c r="A869" s="140"/>
      <c r="B869" s="141"/>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row>
    <row r="870" spans="1:26" x14ac:dyDescent="0.25">
      <c r="A870" s="140"/>
      <c r="B870" s="141"/>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row>
    <row r="871" spans="1:26" x14ac:dyDescent="0.25">
      <c r="A871" s="140"/>
      <c r="B871" s="141"/>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row>
    <row r="872" spans="1:26" x14ac:dyDescent="0.25">
      <c r="A872" s="140"/>
      <c r="B872" s="141"/>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row>
    <row r="873" spans="1:26" x14ac:dyDescent="0.25">
      <c r="A873" s="140"/>
      <c r="B873" s="141"/>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row>
    <row r="874" spans="1:26" x14ac:dyDescent="0.25">
      <c r="A874" s="140"/>
      <c r="B874" s="141"/>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row>
    <row r="875" spans="1:26" x14ac:dyDescent="0.25">
      <c r="A875" s="140"/>
      <c r="B875" s="141"/>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row>
    <row r="876" spans="1:26" x14ac:dyDescent="0.25">
      <c r="A876" s="140"/>
      <c r="B876" s="141"/>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row>
    <row r="877" spans="1:26" x14ac:dyDescent="0.25">
      <c r="A877" s="140"/>
      <c r="B877" s="141"/>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row>
    <row r="878" spans="1:26" x14ac:dyDescent="0.25">
      <c r="A878" s="140"/>
      <c r="B878" s="141"/>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row>
    <row r="879" spans="1:26" x14ac:dyDescent="0.25">
      <c r="A879" s="140"/>
      <c r="B879" s="141"/>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row>
    <row r="880" spans="1:26" x14ac:dyDescent="0.25">
      <c r="A880" s="140"/>
      <c r="B880" s="141"/>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row>
    <row r="881" spans="1:26" x14ac:dyDescent="0.25">
      <c r="A881" s="140"/>
      <c r="B881" s="141"/>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row>
    <row r="882" spans="1:26" x14ac:dyDescent="0.25">
      <c r="A882" s="140"/>
      <c r="B882" s="141"/>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row>
    <row r="883" spans="1:26" x14ac:dyDescent="0.25">
      <c r="A883" s="140"/>
      <c r="B883" s="141"/>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row>
    <row r="884" spans="1:26" x14ac:dyDescent="0.25">
      <c r="A884" s="140"/>
      <c r="B884" s="141"/>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row>
    <row r="885" spans="1:26" x14ac:dyDescent="0.25">
      <c r="A885" s="140"/>
      <c r="B885" s="141"/>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row>
    <row r="886" spans="1:26" x14ac:dyDescent="0.25">
      <c r="A886" s="140"/>
      <c r="B886" s="141"/>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row>
    <row r="887" spans="1:26" x14ac:dyDescent="0.25">
      <c r="A887" s="140"/>
      <c r="B887" s="141"/>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row>
    <row r="888" spans="1:26" x14ac:dyDescent="0.25">
      <c r="A888" s="140"/>
      <c r="B888" s="141"/>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row>
    <row r="889" spans="1:26" x14ac:dyDescent="0.25">
      <c r="A889" s="140"/>
      <c r="B889" s="141"/>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row>
    <row r="890" spans="1:26" x14ac:dyDescent="0.25">
      <c r="A890" s="140"/>
      <c r="B890" s="141"/>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row>
    <row r="891" spans="1:26" x14ac:dyDescent="0.25">
      <c r="A891" s="140"/>
      <c r="B891" s="141"/>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row>
    <row r="892" spans="1:26" x14ac:dyDescent="0.25">
      <c r="A892" s="140"/>
      <c r="B892" s="141"/>
      <c r="C892" s="140"/>
      <c r="D892" s="140"/>
      <c r="E892" s="140"/>
      <c r="F892" s="140"/>
      <c r="G892" s="140"/>
      <c r="H892" s="140"/>
      <c r="I892" s="140"/>
      <c r="J892" s="140"/>
      <c r="K892" s="140"/>
      <c r="L892" s="140"/>
      <c r="M892" s="140"/>
      <c r="N892" s="140"/>
      <c r="O892" s="140"/>
      <c r="P892" s="140"/>
      <c r="Q892" s="140"/>
      <c r="R892" s="140"/>
      <c r="S892" s="140"/>
      <c r="T892" s="140"/>
      <c r="U892" s="140"/>
      <c r="V892" s="140"/>
      <c r="W892" s="140"/>
      <c r="X892" s="140"/>
      <c r="Y892" s="140"/>
      <c r="Z892" s="140"/>
    </row>
    <row r="893" spans="1:26" x14ac:dyDescent="0.25">
      <c r="A893" s="140"/>
      <c r="B893" s="141"/>
      <c r="C893" s="140"/>
      <c r="D893" s="140"/>
      <c r="E893" s="140"/>
      <c r="F893" s="140"/>
      <c r="G893" s="140"/>
      <c r="H893" s="140"/>
      <c r="I893" s="140"/>
      <c r="J893" s="140"/>
      <c r="K893" s="140"/>
      <c r="L893" s="140"/>
      <c r="M893" s="140"/>
      <c r="N893" s="140"/>
      <c r="O893" s="140"/>
      <c r="P893" s="140"/>
      <c r="Q893" s="140"/>
      <c r="R893" s="140"/>
      <c r="S893" s="140"/>
      <c r="T893" s="140"/>
      <c r="U893" s="140"/>
      <c r="V893" s="140"/>
      <c r="W893" s="140"/>
      <c r="X893" s="140"/>
      <c r="Y893" s="140"/>
      <c r="Z893" s="140"/>
    </row>
    <row r="894" spans="1:26" x14ac:dyDescent="0.25">
      <c r="A894" s="140"/>
      <c r="B894" s="141"/>
      <c r="C894" s="140"/>
      <c r="D894" s="140"/>
      <c r="E894" s="140"/>
      <c r="F894" s="140"/>
      <c r="G894" s="140"/>
      <c r="H894" s="140"/>
      <c r="I894" s="140"/>
      <c r="J894" s="140"/>
      <c r="K894" s="140"/>
      <c r="L894" s="140"/>
      <c r="M894" s="140"/>
      <c r="N894" s="140"/>
      <c r="O894" s="140"/>
      <c r="P894" s="140"/>
      <c r="Q894" s="140"/>
      <c r="R894" s="140"/>
      <c r="S894" s="140"/>
      <c r="T894" s="140"/>
      <c r="U894" s="140"/>
      <c r="V894" s="140"/>
      <c r="W894" s="140"/>
      <c r="X894" s="140"/>
      <c r="Y894" s="140"/>
      <c r="Z894" s="140"/>
    </row>
    <row r="895" spans="1:26" x14ac:dyDescent="0.25">
      <c r="A895" s="140"/>
      <c r="B895" s="141"/>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row>
    <row r="896" spans="1:26" x14ac:dyDescent="0.25">
      <c r="A896" s="140"/>
      <c r="B896" s="141"/>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row>
    <row r="897" spans="1:26" x14ac:dyDescent="0.25">
      <c r="A897" s="140"/>
      <c r="B897" s="141"/>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row>
    <row r="898" spans="1:26" x14ac:dyDescent="0.25">
      <c r="A898" s="140"/>
      <c r="B898" s="141"/>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row>
    <row r="899" spans="1:26" x14ac:dyDescent="0.25">
      <c r="A899" s="140"/>
      <c r="B899" s="141"/>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row>
    <row r="900" spans="1:26" x14ac:dyDescent="0.25">
      <c r="A900" s="140"/>
      <c r="B900" s="141"/>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row>
    <row r="901" spans="1:26" x14ac:dyDescent="0.25">
      <c r="A901" s="140"/>
      <c r="B901" s="141"/>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row>
    <row r="902" spans="1:26" x14ac:dyDescent="0.25">
      <c r="A902" s="140"/>
      <c r="B902" s="141"/>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row>
    <row r="903" spans="1:26" x14ac:dyDescent="0.25">
      <c r="A903" s="140"/>
      <c r="B903" s="141"/>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row>
    <row r="904" spans="1:26" x14ac:dyDescent="0.25">
      <c r="A904" s="140"/>
      <c r="B904" s="141"/>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row>
    <row r="905" spans="1:26" x14ac:dyDescent="0.25">
      <c r="A905" s="140"/>
      <c r="B905" s="141"/>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row>
    <row r="906" spans="1:26" x14ac:dyDescent="0.25">
      <c r="A906" s="140"/>
      <c r="B906" s="141"/>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row>
    <row r="907" spans="1:26" x14ac:dyDescent="0.25">
      <c r="A907" s="140"/>
      <c r="B907" s="141"/>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row>
    <row r="908" spans="1:26" x14ac:dyDescent="0.25">
      <c r="A908" s="140"/>
      <c r="B908" s="141"/>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row>
    <row r="909" spans="1:26" x14ac:dyDescent="0.25">
      <c r="A909" s="140"/>
      <c r="B909" s="141"/>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row>
    <row r="910" spans="1:26" x14ac:dyDescent="0.25">
      <c r="A910" s="140"/>
      <c r="B910" s="141"/>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row>
    <row r="911" spans="1:26" x14ac:dyDescent="0.25">
      <c r="A911" s="140"/>
      <c r="B911" s="141"/>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row>
    <row r="912" spans="1:26" x14ac:dyDescent="0.25">
      <c r="A912" s="140"/>
      <c r="B912" s="141"/>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row>
    <row r="913" spans="1:26" x14ac:dyDescent="0.25">
      <c r="A913" s="140"/>
      <c r="B913" s="141"/>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row>
    <row r="914" spans="1:26" x14ac:dyDescent="0.25">
      <c r="A914" s="140"/>
      <c r="B914" s="141"/>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row>
    <row r="915" spans="1:26" x14ac:dyDescent="0.25">
      <c r="A915" s="140"/>
      <c r="B915" s="141"/>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row>
    <row r="916" spans="1:26" x14ac:dyDescent="0.25">
      <c r="A916" s="140"/>
      <c r="B916" s="141"/>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row>
    <row r="917" spans="1:26" x14ac:dyDescent="0.25">
      <c r="A917" s="140"/>
      <c r="B917" s="141"/>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row>
  </sheetData>
  <autoFilter ref="A1:AC157" xr:uid="{00000000-0009-0000-0000-000003000000}"/>
  <phoneticPr fontId="13" type="noConversion"/>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наблюдение</vt:lpstr>
      <vt:lpstr>2 оч.</vt:lpstr>
      <vt:lpstr>3, 4 оч.</vt:lpstr>
      <vt:lpstr>База</vt:lpstr>
      <vt:lpstr>База!_GoBack</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i.salnaya</dc:creator>
  <cp:lastModifiedBy>User</cp:lastModifiedBy>
  <cp:lastPrinted>2019-02-06T14:54:51Z</cp:lastPrinted>
  <dcterms:created xsi:type="dcterms:W3CDTF">2014-06-18T07:23:03Z</dcterms:created>
  <dcterms:modified xsi:type="dcterms:W3CDTF">2021-06-04T10:57:14Z</dcterms:modified>
</cp:coreProperties>
</file>